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MEN\для меня\Для РЭК\Тарифы 2026\ЭТК\Информация для размещения\"/>
    </mc:Choice>
  </mc:AlternateContent>
  <xr:revisionPtr revIDLastSave="0" documentId="8_{715749A3-D96E-4825-AF42-A8BE83BBA654}" xr6:coauthVersionLast="47" xr6:coauthVersionMax="47" xr10:uidLastSave="{00000000-0000-0000-0000-000000000000}"/>
  <bookViews>
    <workbookView xWindow="-120" yWindow="-120" windowWidth="29040" windowHeight="15840" xr2:uid="{37A16EB7-A13D-41BC-89C1-5CCF2CAAAC51}"/>
  </bookViews>
  <sheets>
    <sheet name="Лист1" sheetId="1" r:id="rId1"/>
  </sheets>
  <externalReferences>
    <externalReference r:id="rId2"/>
    <externalReference r:id="rId3"/>
  </externalReferences>
  <definedNames>
    <definedName name="_xlnm.Print_Titles" localSheetId="0">Лист1!$18:$18</definedName>
    <definedName name="_xlnm.Print_Area" localSheetId="0">Лист1!$A$1:$N$104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G103" i="1"/>
  <c r="D103" i="1"/>
  <c r="K102" i="1"/>
  <c r="L102" i="1" s="1"/>
  <c r="M102" i="1" s="1"/>
  <c r="N102" i="1" s="1"/>
  <c r="J102" i="1"/>
  <c r="K101" i="1"/>
  <c r="L101" i="1" s="1"/>
  <c r="M101" i="1" s="1"/>
  <c r="K100" i="1"/>
  <c r="L100" i="1" s="1"/>
  <c r="M100" i="1" s="1"/>
  <c r="N100" i="1" s="1"/>
  <c r="K99" i="1"/>
  <c r="L99" i="1" s="1"/>
  <c r="M99" i="1" s="1"/>
  <c r="N99" i="1" s="1"/>
  <c r="K97" i="1"/>
  <c r="G97" i="1"/>
  <c r="K96" i="1"/>
  <c r="K94" i="1" s="1"/>
  <c r="G96" i="1"/>
  <c r="N94" i="1"/>
  <c r="M94" i="1"/>
  <c r="L94" i="1"/>
  <c r="J94" i="1"/>
  <c r="K90" i="1"/>
  <c r="L90" i="1" s="1"/>
  <c r="M90" i="1" s="1"/>
  <c r="N90" i="1" s="1"/>
  <c r="G90" i="1"/>
  <c r="E88" i="1"/>
  <c r="D88" i="1"/>
  <c r="K83" i="1"/>
  <c r="L83" i="1" s="1"/>
  <c r="M83" i="1" s="1"/>
  <c r="N83" i="1" s="1"/>
  <c r="K82" i="1"/>
  <c r="L82" i="1" s="1"/>
  <c r="K81" i="1"/>
  <c r="L81" i="1" s="1"/>
  <c r="M81" i="1" s="1"/>
  <c r="N81" i="1" s="1"/>
  <c r="J81" i="1"/>
  <c r="J79" i="1" s="1"/>
  <c r="G81" i="1"/>
  <c r="G79" i="1" s="1"/>
  <c r="I79" i="1"/>
  <c r="H79" i="1"/>
  <c r="F79" i="1"/>
  <c r="E79" i="1"/>
  <c r="D79" i="1"/>
  <c r="K78" i="1"/>
  <c r="L78" i="1" s="1"/>
  <c r="M78" i="1" s="1"/>
  <c r="N78" i="1" s="1"/>
  <c r="K77" i="1"/>
  <c r="L77" i="1" s="1"/>
  <c r="D77" i="1"/>
  <c r="D76" i="1" s="1"/>
  <c r="H76" i="1"/>
  <c r="G76" i="1"/>
  <c r="F76" i="1"/>
  <c r="E76" i="1"/>
  <c r="K75" i="1"/>
  <c r="L75" i="1" s="1"/>
  <c r="M75" i="1" s="1"/>
  <c r="N75" i="1" s="1"/>
  <c r="G75" i="1"/>
  <c r="K74" i="1"/>
  <c r="J74" i="1"/>
  <c r="J73" i="1" s="1"/>
  <c r="I74" i="1"/>
  <c r="I73" i="1" s="1"/>
  <c r="I92" i="1" s="1"/>
  <c r="G74" i="1"/>
  <c r="H73" i="1"/>
  <c r="H92" i="1" s="1"/>
  <c r="F73" i="1"/>
  <c r="F92" i="1" s="1"/>
  <c r="E73" i="1"/>
  <c r="D73" i="1"/>
  <c r="N69" i="1"/>
  <c r="M69" i="1"/>
  <c r="L69" i="1"/>
  <c r="K69" i="1"/>
  <c r="J69" i="1"/>
  <c r="H69" i="1"/>
  <c r="E69" i="1"/>
  <c r="D69" i="1"/>
  <c r="H66" i="1"/>
  <c r="F66" i="1"/>
  <c r="E66" i="1"/>
  <c r="D66" i="1"/>
  <c r="F57" i="1"/>
  <c r="E57" i="1"/>
  <c r="D57" i="1"/>
  <c r="I54" i="1"/>
  <c r="I53" i="1"/>
  <c r="I52" i="1"/>
  <c r="I51" i="1"/>
  <c r="I50" i="1"/>
  <c r="I49" i="1"/>
  <c r="I48" i="1" s="1"/>
  <c r="J48" i="1"/>
  <c r="F48" i="1"/>
  <c r="E48" i="1"/>
  <c r="D48" i="1"/>
  <c r="I47" i="1"/>
  <c r="I46" i="1"/>
  <c r="I45" i="1"/>
  <c r="J44" i="1"/>
  <c r="F44" i="1"/>
  <c r="E44" i="1"/>
  <c r="D44" i="1"/>
  <c r="I43" i="1"/>
  <c r="I42" i="1"/>
  <c r="I41" i="1"/>
  <c r="I40" i="1" s="1"/>
  <c r="J40" i="1"/>
  <c r="J38" i="1" s="1"/>
  <c r="F40" i="1"/>
  <c r="E40" i="1"/>
  <c r="E38" i="1" s="1"/>
  <c r="E34" i="1" s="1"/>
  <c r="D40" i="1"/>
  <c r="O39" i="1"/>
  <c r="I39" i="1"/>
  <c r="H38" i="1"/>
  <c r="F38" i="1"/>
  <c r="J35" i="1"/>
  <c r="J34" i="1" s="1"/>
  <c r="I35" i="1"/>
  <c r="H35" i="1"/>
  <c r="F35" i="1"/>
  <c r="F34" i="1" s="1"/>
  <c r="E35" i="1"/>
  <c r="D35" i="1"/>
  <c r="F33" i="1"/>
  <c r="E33" i="1"/>
  <c r="K32" i="1"/>
  <c r="L32" i="1" s="1"/>
  <c r="M32" i="1" s="1"/>
  <c r="N32" i="1" s="1"/>
  <c r="J32" i="1"/>
  <c r="J33" i="1" s="1"/>
  <c r="G32" i="1"/>
  <c r="I31" i="1"/>
  <c r="D31" i="1"/>
  <c r="D24" i="1" s="1"/>
  <c r="D84" i="1" s="1"/>
  <c r="F30" i="1"/>
  <c r="E30" i="1"/>
  <c r="J29" i="1"/>
  <c r="J30" i="1" s="1"/>
  <c r="G29" i="1"/>
  <c r="I28" i="1"/>
  <c r="D28" i="1"/>
  <c r="F27" i="1"/>
  <c r="E27" i="1"/>
  <c r="M26" i="1"/>
  <c r="N26" i="1" s="1"/>
  <c r="J26" i="1"/>
  <c r="K26" i="1" s="1"/>
  <c r="L26" i="1" s="1"/>
  <c r="G26" i="1"/>
  <c r="I25" i="1"/>
  <c r="D25" i="1"/>
  <c r="J24" i="1"/>
  <c r="J85" i="1" s="1"/>
  <c r="H24" i="1"/>
  <c r="F24" i="1"/>
  <c r="F84" i="1" s="1"/>
  <c r="E24" i="1"/>
  <c r="J22" i="1"/>
  <c r="J21" i="1" s="1"/>
  <c r="J71" i="1" s="1"/>
  <c r="I22" i="1"/>
  <c r="I21" i="1" s="1"/>
  <c r="H22" i="1"/>
  <c r="H21" i="1" s="1"/>
  <c r="F22" i="1"/>
  <c r="E22" i="1"/>
  <c r="E21" i="1" s="1"/>
  <c r="E71" i="1" s="1"/>
  <c r="D22" i="1"/>
  <c r="F21" i="1"/>
  <c r="D21" i="1"/>
  <c r="H13" i="1"/>
  <c r="H14" i="1" s="1"/>
  <c r="G13" i="1"/>
  <c r="G14" i="1" s="1"/>
  <c r="F13" i="1"/>
  <c r="E13" i="1"/>
  <c r="E14" i="1" s="1"/>
  <c r="D13" i="1"/>
  <c r="D14" i="1" s="1"/>
  <c r="K12" i="1"/>
  <c r="K13" i="1" s="1"/>
  <c r="K14" i="1" s="1"/>
  <c r="G11" i="1"/>
  <c r="F11" i="1"/>
  <c r="E11" i="1"/>
  <c r="K8" i="1"/>
  <c r="L8" i="1" s="1"/>
  <c r="M8" i="1" s="1"/>
  <c r="N8" i="1" s="1"/>
  <c r="G37" i="1" l="1"/>
  <c r="G25" i="1"/>
  <c r="G64" i="1"/>
  <c r="G42" i="1"/>
  <c r="G23" i="1"/>
  <c r="G22" i="1" s="1"/>
  <c r="G21" i="1" s="1"/>
  <c r="I24" i="1"/>
  <c r="I85" i="1" s="1"/>
  <c r="J92" i="1"/>
  <c r="F71" i="1"/>
  <c r="F93" i="1" s="1"/>
  <c r="F98" i="1" s="1"/>
  <c r="F104" i="1" s="1"/>
  <c r="K29" i="1"/>
  <c r="L29" i="1" s="1"/>
  <c r="M29" i="1" s="1"/>
  <c r="N29" i="1" s="1"/>
  <c r="D38" i="1"/>
  <c r="G73" i="1"/>
  <c r="K103" i="1"/>
  <c r="K28" i="1"/>
  <c r="J93" i="1"/>
  <c r="J98" i="1" s="1"/>
  <c r="R71" i="1"/>
  <c r="K66" i="1"/>
  <c r="K62" i="1"/>
  <c r="K58" i="1"/>
  <c r="K37" i="1"/>
  <c r="K57" i="1"/>
  <c r="K53" i="1"/>
  <c r="K52" i="1"/>
  <c r="K51" i="1"/>
  <c r="K43" i="1"/>
  <c r="K61" i="1"/>
  <c r="K60" i="1"/>
  <c r="K59" i="1"/>
  <c r="K36" i="1"/>
  <c r="K68" i="1"/>
  <c r="K65" i="1"/>
  <c r="K63" i="1"/>
  <c r="K56" i="1"/>
  <c r="K54" i="1"/>
  <c r="K45" i="1"/>
  <c r="K25" i="1"/>
  <c r="K47" i="1"/>
  <c r="K67" i="1"/>
  <c r="K64" i="1"/>
  <c r="K55" i="1"/>
  <c r="K39" i="1"/>
  <c r="K23" i="1"/>
  <c r="K84" i="1"/>
  <c r="G27" i="1"/>
  <c r="M82" i="1"/>
  <c r="N82" i="1" s="1"/>
  <c r="N79" i="1" s="1"/>
  <c r="L79" i="1"/>
  <c r="G67" i="1"/>
  <c r="G63" i="1"/>
  <c r="G59" i="1"/>
  <c r="G49" i="1"/>
  <c r="G47" i="1"/>
  <c r="G45" i="1"/>
  <c r="G43" i="1"/>
  <c r="G41" i="1"/>
  <c r="G70" i="1"/>
  <c r="G69" i="1" s="1"/>
  <c r="G68" i="1"/>
  <c r="G56" i="1"/>
  <c r="G55" i="1"/>
  <c r="G46" i="1"/>
  <c r="G28" i="1"/>
  <c r="G30" i="1" s="1"/>
  <c r="G58" i="1"/>
  <c r="G54" i="1"/>
  <c r="G39" i="1"/>
  <c r="P25" i="1"/>
  <c r="J27" i="1"/>
  <c r="K46" i="1"/>
  <c r="G50" i="1"/>
  <c r="G60" i="1"/>
  <c r="G62" i="1"/>
  <c r="K76" i="1"/>
  <c r="L12" i="1"/>
  <c r="F14" i="1"/>
  <c r="P24" i="1"/>
  <c r="G36" i="1"/>
  <c r="G35" i="1" s="1"/>
  <c r="K41" i="1"/>
  <c r="I44" i="1"/>
  <c r="I38" i="1" s="1"/>
  <c r="I34" i="1" s="1"/>
  <c r="I71" i="1" s="1"/>
  <c r="I93" i="1" s="1"/>
  <c r="I98" i="1" s="1"/>
  <c r="I104" i="1" s="1"/>
  <c r="G65" i="1"/>
  <c r="D92" i="1"/>
  <c r="L103" i="1"/>
  <c r="K31" i="1"/>
  <c r="L74" i="1"/>
  <c r="K73" i="1"/>
  <c r="G31" i="1"/>
  <c r="G33" i="1" s="1"/>
  <c r="K49" i="1"/>
  <c r="G61" i="1"/>
  <c r="M77" i="1"/>
  <c r="L76" i="1"/>
  <c r="K79" i="1"/>
  <c r="N101" i="1"/>
  <c r="N103" i="1" s="1"/>
  <c r="M103" i="1"/>
  <c r="K42" i="1"/>
  <c r="K50" i="1"/>
  <c r="E92" i="1"/>
  <c r="E93" i="1" s="1"/>
  <c r="E98" i="1" s="1"/>
  <c r="E104" i="1" s="1"/>
  <c r="D34" i="1"/>
  <c r="D71" i="1" s="1"/>
  <c r="D93" i="1" s="1"/>
  <c r="D98" i="1" s="1"/>
  <c r="D104" i="1" s="1"/>
  <c r="H34" i="1"/>
  <c r="H71" i="1" s="1"/>
  <c r="H93" i="1" s="1"/>
  <c r="H98" i="1" s="1"/>
  <c r="H104" i="1" s="1"/>
  <c r="K92" i="1" l="1"/>
  <c r="M79" i="1"/>
  <c r="K48" i="1"/>
  <c r="L73" i="1"/>
  <c r="M74" i="1"/>
  <c r="M12" i="1"/>
  <c r="L13" i="1"/>
  <c r="L14" i="1" s="1"/>
  <c r="L68" i="1" s="1"/>
  <c r="G44" i="1"/>
  <c r="K22" i="1"/>
  <c r="K21" i="1" s="1"/>
  <c r="K40" i="1"/>
  <c r="K38" i="1" s="1"/>
  <c r="K44" i="1"/>
  <c r="J106" i="1"/>
  <c r="J104" i="1"/>
  <c r="K33" i="1"/>
  <c r="G66" i="1"/>
  <c r="K35" i="1"/>
  <c r="K30" i="1"/>
  <c r="G57" i="1"/>
  <c r="N77" i="1"/>
  <c r="N76" i="1" s="1"/>
  <c r="M76" i="1"/>
  <c r="G40" i="1"/>
  <c r="G38" i="1" s="1"/>
  <c r="G34" i="1" s="1"/>
  <c r="G48" i="1"/>
  <c r="G24" i="1"/>
  <c r="K27" i="1"/>
  <c r="K24" i="1"/>
  <c r="K85" i="1" s="1"/>
  <c r="L59" i="1"/>
  <c r="L53" i="1" l="1"/>
  <c r="L39" i="1"/>
  <c r="L54" i="1"/>
  <c r="L62" i="1"/>
  <c r="L63" i="1"/>
  <c r="L55" i="1"/>
  <c r="L28" i="1"/>
  <c r="L37" i="1"/>
  <c r="L67" i="1"/>
  <c r="L42" i="1"/>
  <c r="L57" i="1"/>
  <c r="L56" i="1"/>
  <c r="L46" i="1"/>
  <c r="L45" i="1"/>
  <c r="L52" i="1"/>
  <c r="L43" i="1"/>
  <c r="M43" i="1" s="1"/>
  <c r="L25" i="1"/>
  <c r="L64" i="1"/>
  <c r="L58" i="1"/>
  <c r="L47" i="1"/>
  <c r="L30" i="1"/>
  <c r="K34" i="1"/>
  <c r="M52" i="1"/>
  <c r="N52" i="1" s="1"/>
  <c r="L66" i="1"/>
  <c r="L84" i="1"/>
  <c r="L51" i="1"/>
  <c r="N74" i="1"/>
  <c r="N73" i="1" s="1"/>
  <c r="M73" i="1"/>
  <c r="M57" i="1"/>
  <c r="N57" i="1" s="1"/>
  <c r="G84" i="1"/>
  <c r="G92" i="1" s="1"/>
  <c r="G71" i="1"/>
  <c r="G93" i="1" s="1"/>
  <c r="G98" i="1" s="1"/>
  <c r="G104" i="1" s="1"/>
  <c r="L36" i="1"/>
  <c r="L31" i="1"/>
  <c r="L60" i="1"/>
  <c r="L41" i="1"/>
  <c r="L61" i="1"/>
  <c r="K71" i="1"/>
  <c r="M13" i="1"/>
  <c r="M14" i="1" s="1"/>
  <c r="M84" i="1" s="1"/>
  <c r="N12" i="1"/>
  <c r="N13" i="1" s="1"/>
  <c r="N14" i="1" s="1"/>
  <c r="L49" i="1"/>
  <c r="L65" i="1"/>
  <c r="M65" i="1" s="1"/>
  <c r="N65" i="1" s="1"/>
  <c r="M59" i="1"/>
  <c r="M42" i="1"/>
  <c r="N42" i="1" s="1"/>
  <c r="L27" i="1"/>
  <c r="M25" i="1"/>
  <c r="M64" i="1"/>
  <c r="M56" i="1"/>
  <c r="M45" i="1"/>
  <c r="L44" i="1"/>
  <c r="L23" i="1"/>
  <c r="L50" i="1"/>
  <c r="M50" i="1" s="1"/>
  <c r="M68" i="1" l="1"/>
  <c r="N68" i="1" s="1"/>
  <c r="M58" i="1"/>
  <c r="N58" i="1" s="1"/>
  <c r="N50" i="1"/>
  <c r="M47" i="1"/>
  <c r="N47" i="1" s="1"/>
  <c r="M53" i="1"/>
  <c r="N53" i="1" s="1"/>
  <c r="M63" i="1"/>
  <c r="N63" i="1" s="1"/>
  <c r="L33" i="1"/>
  <c r="M31" i="1"/>
  <c r="N64" i="1"/>
  <c r="N43" i="1"/>
  <c r="M49" i="1"/>
  <c r="L48" i="1"/>
  <c r="M61" i="1"/>
  <c r="N61" i="1" s="1"/>
  <c r="M36" i="1"/>
  <c r="L35" i="1"/>
  <c r="M92" i="1"/>
  <c r="M51" i="1"/>
  <c r="N51" i="1" s="1"/>
  <c r="M46" i="1"/>
  <c r="N46" i="1" s="1"/>
  <c r="M62" i="1"/>
  <c r="N62" i="1" s="1"/>
  <c r="K93" i="1"/>
  <c r="K98" i="1" s="1"/>
  <c r="K104" i="1" s="1"/>
  <c r="P71" i="1"/>
  <c r="N45" i="1"/>
  <c r="N44" i="1" s="1"/>
  <c r="M44" i="1"/>
  <c r="N25" i="1"/>
  <c r="M27" i="1"/>
  <c r="M41" i="1"/>
  <c r="L40" i="1"/>
  <c r="L38" i="1" s="1"/>
  <c r="L92" i="1"/>
  <c r="M39" i="1"/>
  <c r="M28" i="1"/>
  <c r="M37" i="1"/>
  <c r="N37" i="1" s="1"/>
  <c r="M23" i="1"/>
  <c r="L22" i="1"/>
  <c r="L21" i="1" s="1"/>
  <c r="N56" i="1"/>
  <c r="L24" i="1"/>
  <c r="L85" i="1" s="1"/>
  <c r="N59" i="1"/>
  <c r="M60" i="1"/>
  <c r="N60" i="1" s="1"/>
  <c r="M54" i="1"/>
  <c r="N54" i="1" s="1"/>
  <c r="N84" i="1"/>
  <c r="N92" i="1" s="1"/>
  <c r="M67" i="1"/>
  <c r="M55" i="1"/>
  <c r="N55" i="1" s="1"/>
  <c r="N28" i="1" l="1"/>
  <c r="N30" i="1" s="1"/>
  <c r="M30" i="1"/>
  <c r="N27" i="1"/>
  <c r="M35" i="1"/>
  <c r="N36" i="1"/>
  <c r="N35" i="1" s="1"/>
  <c r="N67" i="1"/>
  <c r="N66" i="1" s="1"/>
  <c r="M66" i="1"/>
  <c r="N23" i="1"/>
  <c r="N22" i="1" s="1"/>
  <c r="N21" i="1" s="1"/>
  <c r="M22" i="1"/>
  <c r="M21" i="1" s="1"/>
  <c r="N39" i="1"/>
  <c r="M40" i="1"/>
  <c r="M38" i="1" s="1"/>
  <c r="N41" i="1"/>
  <c r="N40" i="1" s="1"/>
  <c r="M33" i="1"/>
  <c r="N31" i="1"/>
  <c r="N33" i="1" s="1"/>
  <c r="M24" i="1"/>
  <c r="M85" i="1" s="1"/>
  <c r="L34" i="1"/>
  <c r="L71" i="1" s="1"/>
  <c r="L93" i="1" s="1"/>
  <c r="L98" i="1" s="1"/>
  <c r="L104" i="1" s="1"/>
  <c r="M48" i="1"/>
  <c r="N49" i="1"/>
  <c r="N48" i="1" s="1"/>
  <c r="N38" i="1" l="1"/>
  <c r="N24" i="1"/>
  <c r="N85" i="1" s="1"/>
  <c r="N34" i="1"/>
  <c r="N71" i="1"/>
  <c r="N93" i="1" s="1"/>
  <c r="N98" i="1" s="1"/>
  <c r="N104" i="1" s="1"/>
  <c r="M34" i="1"/>
  <c r="M71" i="1" s="1"/>
  <c r="M93" i="1" s="1"/>
  <c r="M98" i="1" s="1"/>
  <c r="M1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Колышницына Наталья Владимировна</author>
  </authors>
  <commentList>
    <comment ref="K95" authorId="0" shapeId="0" xr:uid="{BC75CFD5-3C92-4506-BFB7-EDC919D64693}">
      <text>
        <r>
          <rPr>
            <b/>
            <sz val="9"/>
            <color indexed="81"/>
            <rFont val="Tahoma"/>
            <family val="2"/>
            <charset val="204"/>
          </rPr>
          <t>Колышницына Наталья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судебное решение по Омскэнергосбыту </t>
        </r>
      </text>
    </comment>
  </commentList>
</comments>
</file>

<file path=xl/sharedStrings.xml><?xml version="1.0" encoding="utf-8"?>
<sst xmlns="http://schemas.openxmlformats.org/spreadsheetml/2006/main" count="266" uniqueCount="183">
  <si>
    <t>Калькуляция расходов, связанных с передачей электроэнергии по сетям ООО "Электротехнический комплекс" на 2025-2029 годы</t>
  </si>
  <si>
    <t xml:space="preserve">Значения параметров расчета тарифов </t>
  </si>
  <si>
    <t xml:space="preserve"> № п/п</t>
  </si>
  <si>
    <t>Показатели</t>
  </si>
  <si>
    <t>Ед. изм.</t>
  </si>
  <si>
    <t>2020
(базовый уровень)</t>
  </si>
  <si>
    <t>2021
утверждено</t>
  </si>
  <si>
    <t>2022
утверждено</t>
  </si>
  <si>
    <t>2023
утверждено</t>
  </si>
  <si>
    <t>2024 план</t>
  </si>
  <si>
    <t>2025 (экономически обоснованный уровень)</t>
  </si>
  <si>
    <t>2025 (базовый уровень утверждено)</t>
  </si>
  <si>
    <t>Долгосрочные параметры (не меняются в течение долгосрочного периода регулирования)</t>
  </si>
  <si>
    <t>Индекс эффективности операционных расходов</t>
  </si>
  <si>
    <t>Коэффициент эластичности подконтрольных расходов по количеству активов</t>
  </si>
  <si>
    <t>Величина технологического расхода (потерь) электрической энергии</t>
  </si>
  <si>
    <t>%</t>
  </si>
  <si>
    <t>Максимальный процент корректировки НВВ (Пкорi)</t>
  </si>
  <si>
    <t>Планируемые значения параметров расчета тарифов (определяются перед началом каждого года долгосрочного периода регулирования)</t>
  </si>
  <si>
    <t>Индекс потребительских цен</t>
  </si>
  <si>
    <t>Количество активов</t>
  </si>
  <si>
    <t>у.е.</t>
  </si>
  <si>
    <t>Индекс изменения количества активов</t>
  </si>
  <si>
    <t>Итого коэффициент индексации</t>
  </si>
  <si>
    <t>Расчет подконтрольных и неподконтрольных расходов</t>
  </si>
  <si>
    <t>2020
утверждено</t>
  </si>
  <si>
    <t>2023
принято</t>
  </si>
  <si>
    <t>2024                        принято</t>
  </si>
  <si>
    <t>2025 (экономически обоснованный)</t>
  </si>
  <si>
    <t>1.</t>
  </si>
  <si>
    <t>Подконтрольные расходы</t>
  </si>
  <si>
    <t>1.1</t>
  </si>
  <si>
    <t>Материальные затраты</t>
  </si>
  <si>
    <t>тыс.руб.</t>
  </si>
  <si>
    <t>1.1.1</t>
  </si>
  <si>
    <t>Сырье, материалы, запасные части, инструменты</t>
  </si>
  <si>
    <t>1.1.1.1</t>
  </si>
  <si>
    <t>Канцелярские расходы, подписка и литература</t>
  </si>
  <si>
    <t>1.2</t>
  </si>
  <si>
    <t>Расходы на оплату труда</t>
  </si>
  <si>
    <t>1.2.1</t>
  </si>
  <si>
    <t>ФОТ Производственного персонала</t>
  </si>
  <si>
    <t>Численность ПП</t>
  </si>
  <si>
    <t>чел.</t>
  </si>
  <si>
    <t>Средняя заработная плата ПП</t>
  </si>
  <si>
    <t>руб.</t>
  </si>
  <si>
    <t>1.2.2</t>
  </si>
  <si>
    <t>ФОТ Общехозяйственного персонала</t>
  </si>
  <si>
    <t>Численность ОХР</t>
  </si>
  <si>
    <t>Средняя заработная плата ОХР</t>
  </si>
  <si>
    <t>1.2.3</t>
  </si>
  <si>
    <t>ФОТ Цехового персонала</t>
  </si>
  <si>
    <t>Численность ЦП</t>
  </si>
  <si>
    <t>Средняя заработная плата ЦП</t>
  </si>
  <si>
    <t>1.3</t>
  </si>
  <si>
    <t>Прочие расходы, всего, в том числе:</t>
  </si>
  <si>
    <t>1.3.1</t>
  </si>
  <si>
    <t>Ремонт основных фондов</t>
  </si>
  <si>
    <t>1.3.1.1</t>
  </si>
  <si>
    <t>сырье, материалы, запасные части</t>
  </si>
  <si>
    <t>1.3.1.2</t>
  </si>
  <si>
    <t xml:space="preserve">услуги сторонних ремонтных организаций </t>
  </si>
  <si>
    <t>1.3.2</t>
  </si>
  <si>
    <t>Оплата работ и услуг сторонних организаций</t>
  </si>
  <si>
    <t>1.3.2.1</t>
  </si>
  <si>
    <t>услуги связи</t>
  </si>
  <si>
    <t>1.3.2.2</t>
  </si>
  <si>
    <t>расходы на услуги вневедомственной охраны и коммунального хозяйства</t>
  </si>
  <si>
    <t>1.3.2.2.1</t>
  </si>
  <si>
    <t>услуги пожарной и вневедомственной охраны</t>
  </si>
  <si>
    <t>1.3.2.2.2</t>
  </si>
  <si>
    <t>прочие коммунальные услуги</t>
  </si>
  <si>
    <t>1.3.2.2.3</t>
  </si>
  <si>
    <t>прочие затраты на содержание зданий</t>
  </si>
  <si>
    <t>1.3.2.3</t>
  </si>
  <si>
    <t>расходы на юридические и информационные услуги</t>
  </si>
  <si>
    <t>1.3.2.3.1</t>
  </si>
  <si>
    <t>юридические услуги</t>
  </si>
  <si>
    <t>1.3.2.3.2</t>
  </si>
  <si>
    <t>информационные услуги</t>
  </si>
  <si>
    <t>1.3.2.4</t>
  </si>
  <si>
    <t>расходы на аудиторские и консультационные услуги</t>
  </si>
  <si>
    <t>1.3.2.5</t>
  </si>
  <si>
    <t>прочие услуги сторонних организаций</t>
  </si>
  <si>
    <t>1.3.2.5.1</t>
  </si>
  <si>
    <t>содержание и ремонт компьютерной и офисной техники</t>
  </si>
  <si>
    <t>1.3.2.5.2</t>
  </si>
  <si>
    <t>обслуживание транспорта (техосмотр, техобслуживание, шиномонтаж, проч расх по экспл.)</t>
  </si>
  <si>
    <t>1.3.2.5.3</t>
  </si>
  <si>
    <t>Оперативно-техническое обслуживание оборудования</t>
  </si>
  <si>
    <t>1.3.2.5.4</t>
  </si>
  <si>
    <t>Расходы на промбезопасность</t>
  </si>
  <si>
    <t>1.3.2.5.5</t>
  </si>
  <si>
    <t>Устройство мембранной кровли здания на Мира, 5б</t>
  </si>
  <si>
    <t>1.3.2.5.6</t>
  </si>
  <si>
    <t>прочие расходы</t>
  </si>
  <si>
    <t>1.3.3</t>
  </si>
  <si>
    <t xml:space="preserve">Расходы на командировки </t>
  </si>
  <si>
    <t>1.3.4</t>
  </si>
  <si>
    <t>Расходы на подготовку кадров</t>
  </si>
  <si>
    <t>1.3.5</t>
  </si>
  <si>
    <t>Расходы на обеспечение нормальных условий труда и мер по технике безопасности</t>
  </si>
  <si>
    <t>1.3.5.1</t>
  </si>
  <si>
    <t xml:space="preserve">предрейсовый медосмотр </t>
  </si>
  <si>
    <t>1.3.5.2</t>
  </si>
  <si>
    <t>медосмотры</t>
  </si>
  <si>
    <t>1.3.5.3</t>
  </si>
  <si>
    <t>спецодежда, спецобувь и средства защиты</t>
  </si>
  <si>
    <t>1.3.5.4</t>
  </si>
  <si>
    <t>производственный контроль 65 точек (59-рабочие места основных рабочих, 6- рабочие места общехоз.рабочих)</t>
  </si>
  <si>
    <t>1.3.5.5</t>
  </si>
  <si>
    <t>специальная оценка условий труда (оформление и проведение замеров  вредных производственных факторов)</t>
  </si>
  <si>
    <t>1.3.5.6</t>
  </si>
  <si>
    <t>1.3.6</t>
  </si>
  <si>
    <t xml:space="preserve">Расходы на страхование </t>
  </si>
  <si>
    <t>1.3.7</t>
  </si>
  <si>
    <t xml:space="preserve">Электроэнергия на хоз. технологические нужды </t>
  </si>
  <si>
    <t>1.3.8</t>
  </si>
  <si>
    <t>Другие прочие расходы</t>
  </si>
  <si>
    <t>1.3.8.1</t>
  </si>
  <si>
    <t>услуги банка</t>
  </si>
  <si>
    <t>1.3.8.2</t>
  </si>
  <si>
    <t xml:space="preserve">прочие услуги </t>
  </si>
  <si>
    <t>1.3.9</t>
  </si>
  <si>
    <t>Подконтрольные расходы из прибыли</t>
  </si>
  <si>
    <t>1.3.9.1</t>
  </si>
  <si>
    <t>расходы социального характера из прибыли</t>
  </si>
  <si>
    <t>ИТОГО подконтрольные расходы</t>
  </si>
  <si>
    <t>2.</t>
  </si>
  <si>
    <t>Неподконтрольные расходы</t>
  </si>
  <si>
    <t>2.1</t>
  </si>
  <si>
    <t>Плата за аренду имущества и лизинг</t>
  </si>
  <si>
    <t>2.1.1.</t>
  </si>
  <si>
    <t>аренда имущества (ОРУ, ЗРУ)</t>
  </si>
  <si>
    <t>2.1.2.</t>
  </si>
  <si>
    <t>прочие</t>
  </si>
  <si>
    <t>2.2</t>
  </si>
  <si>
    <t>Амортизация</t>
  </si>
  <si>
    <t>2.2.1</t>
  </si>
  <si>
    <t>ОПФ</t>
  </si>
  <si>
    <t>2.2.2</t>
  </si>
  <si>
    <t xml:space="preserve">прочая </t>
  </si>
  <si>
    <t>2.3</t>
  </si>
  <si>
    <t>Налоги</t>
  </si>
  <si>
    <t>2.3.1</t>
  </si>
  <si>
    <t>Налог на прибыль</t>
  </si>
  <si>
    <t>Плата за землю</t>
  </si>
  <si>
    <t>2.3.2</t>
  </si>
  <si>
    <t>Налог на имущество</t>
  </si>
  <si>
    <t>2.3.3</t>
  </si>
  <si>
    <t>Прочие налоги и сборы (транспортный налог)</t>
  </si>
  <si>
    <t>2.4</t>
  </si>
  <si>
    <t>Страховые взносы на ФОТ</t>
  </si>
  <si>
    <t>2.4.1</t>
  </si>
  <si>
    <t>Размер страховых взносов</t>
  </si>
  <si>
    <t>2.5</t>
  </si>
  <si>
    <t>Прочие неподконтрольные расходы</t>
  </si>
  <si>
    <t>2.6</t>
  </si>
  <si>
    <t>Выпадающие доходы/экономия средств по п. 87 Основ ценообразования</t>
  </si>
  <si>
    <t>2.7</t>
  </si>
  <si>
    <t>Прибыль на капитальные вложения</t>
  </si>
  <si>
    <t>2.8</t>
  </si>
  <si>
    <t>Проценты по кредитам</t>
  </si>
  <si>
    <t>2.9</t>
  </si>
  <si>
    <t xml:space="preserve">Резерв по сомнительным долгам </t>
  </si>
  <si>
    <t>2.10</t>
  </si>
  <si>
    <t>Лизинг</t>
  </si>
  <si>
    <t>ИТОГО неподконтрольные расходы</t>
  </si>
  <si>
    <t>ИТОГО расходов на содержание сетей</t>
  </si>
  <si>
    <t>Расходы, связанные с компенсацией незапланированных расходов</t>
  </si>
  <si>
    <t>Выпадающие доходы/экономия средств по итогам предыдущих периодов</t>
  </si>
  <si>
    <t>Расходы долгосрочного периода регулирования, связанные с компенсацией незапланированных расходов (со знаком «+») или полученного избытка (со знаком «-»), выявленных по итогам последнего истекшего года долгосрочного периода регулирования Вi</t>
  </si>
  <si>
    <t>Корректировка с учетом надежности и качества</t>
  </si>
  <si>
    <t>ИТОГО НВВ на содержание сетей с учетом корректировки</t>
  </si>
  <si>
    <t>Полезный отпуск электроэнергии</t>
  </si>
  <si>
    <t>млн. кВт.ч</t>
  </si>
  <si>
    <t xml:space="preserve">Заявленная мощность </t>
  </si>
  <si>
    <t>МВт</t>
  </si>
  <si>
    <t>Объем потерь</t>
  </si>
  <si>
    <t>Средневзвешенный тариф покупки потерь</t>
  </si>
  <si>
    <t>руб./МВт.ч.</t>
  </si>
  <si>
    <t>Расходы на оплату потерь</t>
  </si>
  <si>
    <t>ВСЕГО НВВ на содержание сетей и потери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</si>
</sst>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9"/>
      <name val="Tahoma"/>
      <family val="2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10" fillId="0" borderId="1" applyBorder="0">
      <alignment horizontal="center" vertical="center" wrapText="1"/>
    </xf>
    <xf numFmtId="9" fontId="1" fillId="0" borderId="0" applyFont="0" applyFill="0" applyBorder="0" applyAlignment="0" applyProtection="0"/>
    <xf numFmtId="0" fontId="2" fillId="0" borderId="0"/>
    <xf numFmtId="4" fontId="13" fillId="2" borderId="0" applyBorder="0">
      <alignment horizontal="right"/>
    </xf>
  </cellStyleXfs>
  <cellXfs count="93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4" fontId="4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vertical="center"/>
    </xf>
    <xf numFmtId="0" fontId="4" fillId="0" borderId="0" xfId="4" applyFont="1" applyAlignment="1">
      <alignment vertical="center"/>
    </xf>
    <xf numFmtId="49" fontId="4" fillId="0" borderId="2" xfId="5" applyNumberFormat="1" applyFont="1" applyBorder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0" fontId="4" fillId="0" borderId="2" xfId="5" applyFont="1" applyBorder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4" fontId="4" fillId="0" borderId="2" xfId="4" applyNumberFormat="1" applyFont="1" applyBorder="1" applyAlignment="1">
      <alignment horizontal="center" vertical="center" wrapText="1"/>
    </xf>
    <xf numFmtId="1" fontId="4" fillId="0" borderId="2" xfId="4" applyNumberFormat="1" applyFont="1" applyBorder="1" applyAlignment="1">
      <alignment horizontal="center" vertical="center" wrapText="1"/>
    </xf>
    <xf numFmtId="0" fontId="7" fillId="0" borderId="2" xfId="4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4" fillId="0" borderId="2" xfId="4" applyFont="1" applyBorder="1" applyAlignment="1">
      <alignment vertical="center" wrapText="1"/>
    </xf>
    <xf numFmtId="4" fontId="4" fillId="0" borderId="2" xfId="6" applyNumberFormat="1" applyFont="1" applyFill="1" applyBorder="1" applyAlignment="1">
      <alignment horizontal="center" vertical="center"/>
    </xf>
    <xf numFmtId="4" fontId="4" fillId="0" borderId="2" xfId="4" applyNumberFormat="1" applyFont="1" applyBorder="1" applyAlignment="1">
      <alignment horizontal="center" vertical="center"/>
    </xf>
    <xf numFmtId="3" fontId="4" fillId="0" borderId="2" xfId="6" applyNumberFormat="1" applyFont="1" applyFill="1" applyBorder="1" applyAlignment="1">
      <alignment horizontal="center" vertical="center"/>
    </xf>
    <xf numFmtId="0" fontId="7" fillId="0" borderId="3" xfId="4" applyFont="1" applyBorder="1" applyAlignment="1">
      <alignment horizontal="left" vertical="center" wrapText="1"/>
    </xf>
    <xf numFmtId="0" fontId="7" fillId="0" borderId="4" xfId="4" applyFont="1" applyBorder="1" applyAlignment="1">
      <alignment horizontal="left" vertical="center" wrapText="1"/>
    </xf>
    <xf numFmtId="164" fontId="4" fillId="0" borderId="2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5" fontId="4" fillId="0" borderId="2" xfId="2" applyNumberFormat="1" applyFont="1" applyBorder="1" applyAlignment="1">
      <alignment horizontal="center" vertical="center"/>
    </xf>
    <xf numFmtId="4" fontId="4" fillId="0" borderId="2" xfId="2" applyNumberFormat="1" applyFont="1" applyBorder="1" applyAlignment="1">
      <alignment horizontal="center" vertical="center"/>
    </xf>
    <xf numFmtId="164" fontId="4" fillId="0" borderId="2" xfId="6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 wrapText="1"/>
    </xf>
    <xf numFmtId="165" fontId="8" fillId="0" borderId="0" xfId="2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4" fillId="0" borderId="2" xfId="4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" fontId="4" fillId="0" borderId="2" xfId="2" applyNumberFormat="1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 wrapText="1"/>
    </xf>
    <xf numFmtId="0" fontId="4" fillId="0" borderId="2" xfId="5" applyFont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3" applyFont="1" applyBorder="1" applyAlignment="1">
      <alignment vertical="center"/>
    </xf>
    <xf numFmtId="0" fontId="6" fillId="0" borderId="2" xfId="2" applyFont="1" applyBorder="1" applyAlignment="1">
      <alignment vertical="center"/>
    </xf>
    <xf numFmtId="4" fontId="6" fillId="0" borderId="2" xfId="2" applyNumberFormat="1" applyFont="1" applyBorder="1" applyAlignment="1">
      <alignment horizontal="center" vertical="center" wrapText="1"/>
    </xf>
    <xf numFmtId="4" fontId="6" fillId="0" borderId="2" xfId="2" applyNumberFormat="1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49" fontId="8" fillId="0" borderId="2" xfId="3" applyNumberFormat="1" applyFont="1" applyBorder="1" applyAlignment="1">
      <alignment horizontal="center" vertical="center"/>
    </xf>
    <xf numFmtId="0" fontId="8" fillId="0" borderId="2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 wrapText="1"/>
    </xf>
    <xf numFmtId="4" fontId="8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vertical="center" wrapText="1"/>
    </xf>
    <xf numFmtId="4" fontId="12" fillId="0" borderId="2" xfId="2" applyNumberFormat="1" applyFont="1" applyBorder="1" applyAlignment="1">
      <alignment horizontal="center" vertical="center"/>
    </xf>
    <xf numFmtId="0" fontId="4" fillId="0" borderId="2" xfId="7" applyFont="1" applyBorder="1" applyAlignment="1">
      <alignment horizontal="left" vertical="center" wrapText="1"/>
    </xf>
    <xf numFmtId="0" fontId="8" fillId="0" borderId="2" xfId="3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 wrapText="1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4" fillId="0" borderId="2" xfId="3" applyFont="1" applyBorder="1" applyAlignment="1">
      <alignment vertical="center"/>
    </xf>
    <xf numFmtId="3" fontId="4" fillId="0" borderId="2" xfId="3" applyNumberFormat="1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/>
    </xf>
    <xf numFmtId="4" fontId="12" fillId="0" borderId="2" xfId="2" applyNumberFormat="1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4" fontId="8" fillId="0" borderId="2" xfId="8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4" fontId="6" fillId="0" borderId="2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4" fontId="6" fillId="0" borderId="2" xfId="2" applyNumberFormat="1" applyFont="1" applyBorder="1" applyAlignment="1">
      <alignment vertical="center"/>
    </xf>
    <xf numFmtId="4" fontId="4" fillId="0" borderId="2" xfId="2" applyNumberFormat="1" applyFont="1" applyBorder="1" applyAlignment="1">
      <alignment vertical="center"/>
    </xf>
    <xf numFmtId="0" fontId="8" fillId="0" borderId="2" xfId="5" applyFont="1" applyBorder="1" applyAlignment="1">
      <alignment vertical="center" wrapText="1"/>
    </xf>
    <xf numFmtId="4" fontId="8" fillId="0" borderId="2" xfId="2" applyNumberFormat="1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4" fontId="4" fillId="0" borderId="2" xfId="8" applyFont="1" applyFill="1" applyBorder="1" applyAlignment="1">
      <alignment horizontal="center" vertical="center"/>
    </xf>
    <xf numFmtId="164" fontId="4" fillId="0" borderId="2" xfId="8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166" fontId="4" fillId="0" borderId="2" xfId="8" applyNumberFormat="1" applyFont="1" applyFill="1" applyBorder="1" applyAlignment="1">
      <alignment vertical="center"/>
    </xf>
    <xf numFmtId="166" fontId="8" fillId="0" borderId="2" xfId="8" applyNumberFormat="1" applyFont="1" applyFill="1" applyBorder="1" applyAlignment="1">
      <alignment vertical="center"/>
    </xf>
    <xf numFmtId="0" fontId="6" fillId="0" borderId="0" xfId="4" applyFont="1" applyAlignment="1">
      <alignment horizontal="center" vertical="center"/>
    </xf>
  </cellXfs>
  <cellStyles count="9">
    <cellStyle name="ЗаголовокСтолбца 2 2" xfId="5" xr:uid="{9F6DE7A7-C185-4B22-AB40-5A7B395AD3A2}"/>
    <cellStyle name="Обычный" xfId="0" builtinId="0"/>
    <cellStyle name="Обычный 11" xfId="7" xr:uid="{A54977A4-88A8-45A8-9CE2-00B4B212F2C0}"/>
    <cellStyle name="Обычный 2" xfId="1" xr:uid="{9491EF53-80AC-4D19-9F77-6F294A16EF07}"/>
    <cellStyle name="Обычный 2 2" xfId="3" xr:uid="{7BAA5CFB-C515-4338-84CC-601E7507DE58}"/>
    <cellStyle name="Обычный 6" xfId="2" xr:uid="{3383D25E-3A37-4DBB-B04C-AFE1F15880F4}"/>
    <cellStyle name="Обычный 6 2" xfId="4" xr:uid="{32E236C2-EE72-4198-9892-9022FA0817C8}"/>
    <cellStyle name="Процентный 4" xfId="6" xr:uid="{38D533ED-C72D-4A8C-892F-5514DCEED58F}"/>
    <cellStyle name="Формула_GRES.2007.5 3" xfId="8" xr:uid="{A36E894F-A9CF-4DB3-824B-8B3E0A706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BMEN\&#1076;&#1083;&#1103;%20&#1084;&#1077;&#1085;&#1103;\&#1044;&#1083;&#1103;%20&#1056;&#1069;&#1050;\&#1058;&#1072;&#1088;&#1080;&#1092;&#1099;%202026\&#1069;&#1058;&#1050;\&#1069;&#1058;&#1050;%20&#1088;&#1072;&#1089;&#1095;&#1077;&#1090;%20&#1090;&#1072;&#1088;&#1080;&#1092;&#1086;&#1074;%20&#1101;&#1101;%202026%20&#1075;.%20(&#1082;&#1086;&#1088;&#1088;&#1077;&#1082;&#1090;&#1080;&#1088;&#1086;&#1074;&#1082;&#1072;%20&#1086;&#1082;&#1090;&#1103;&#1073;&#1088;&#1100;).xlsx" TargetMode="External"/><Relationship Id="rId1" Type="http://schemas.openxmlformats.org/officeDocument/2006/relationships/externalLinkPath" Target="/OBMEN/&#1076;&#1083;&#1103;%20&#1084;&#1077;&#1085;&#1103;/&#1044;&#1083;&#1103;%20&#1056;&#1069;&#1050;/&#1058;&#1072;&#1088;&#1080;&#1092;&#1099;%202026/&#1069;&#1058;&#1050;/&#1069;&#1058;&#1050;%20&#1088;&#1072;&#1089;&#1095;&#1077;&#1090;%20&#1090;&#1072;&#1088;&#1080;&#1092;&#1086;&#1074;%20&#1101;&#1101;%202026%20&#1075;.%20(&#1082;&#1086;&#1088;&#1088;&#1077;&#1082;&#1090;&#1080;&#1088;&#1086;&#1074;&#1082;&#1072;%20&#1086;&#1082;&#1090;&#1103;&#1073;&#1088;&#110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54;&#1041;&#1052;&#1045;&#1053;\&#1076;&#1083;&#1103;%20&#1084;&#1077;&#1085;&#1103;\&#1044;&#1083;&#1103;%20&#1056;&#1069;&#1050;\&#1058;&#1072;&#1088;&#1080;&#1092;&#1099;%202023\&#1069;&#1058;&#1050;\&#1054;&#1090;%20&#1056;&#1069;&#1050;\&#1069;&#1058;&#1050;_&#1058;&#1072;&#1088;&#1080;&#1092;%202023%20(&#1092;&#1072;&#1082;&#1090;%202021)_(&#1054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3"/>
      <sheetName val="1.4"/>
      <sheetName val="1.5"/>
      <sheetName val="1.6"/>
      <sheetName val="15(ээ)"/>
      <sheetName val="П1.16"/>
      <sheetName val="Фот 2024 по подразд"/>
      <sheetName val="табл П 1.17"/>
      <sheetName val="табл П 1.17.1"/>
      <sheetName val="18.2"/>
      <sheetName val="20"/>
      <sheetName val="20.3"/>
      <sheetName val="21.3"/>
      <sheetName val="25"/>
      <sheetName val="24"/>
      <sheetName val="27"/>
      <sheetName val="2025-2029"/>
      <sheetName val="неподконтр"/>
      <sheetName val="амортизация"/>
      <sheetName val="н-г на имущ"/>
      <sheetName val="зем налог"/>
      <sheetName val="тр н-г"/>
      <sheetName val="Корр-ка 2024"/>
      <sheetName val="у.е. табл 2.1"/>
      <sheetName val="у.е. табл 2.2"/>
    </sheetNames>
    <sheetDataSet>
      <sheetData sheetId="0"/>
      <sheetData sheetId="1">
        <row r="18">
          <cell r="J18">
            <v>52.293278000000001</v>
          </cell>
        </row>
        <row r="21">
          <cell r="J21">
            <v>1094.1443119999999</v>
          </cell>
        </row>
      </sheetData>
      <sheetData sheetId="2">
        <row r="20">
          <cell r="J20">
            <v>167.64599999999999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C8">
            <v>45433724.491316244</v>
          </cell>
          <cell r="F8">
            <v>3113795.5488066059</v>
          </cell>
        </row>
        <row r="10">
          <cell r="H10">
            <v>74288005.349756375</v>
          </cell>
        </row>
        <row r="12">
          <cell r="H12">
            <v>555463.86264417425</v>
          </cell>
        </row>
        <row r="13">
          <cell r="H13">
            <v>1614262.0409907114</v>
          </cell>
        </row>
        <row r="14">
          <cell r="H14">
            <v>29453.536236392567</v>
          </cell>
        </row>
      </sheetData>
      <sheetData sheetId="18"/>
      <sheetData sheetId="19"/>
      <sheetData sheetId="20"/>
      <sheetData sheetId="21"/>
      <sheetData sheetId="22">
        <row r="10">
          <cell r="F10">
            <v>4280.7271167600011</v>
          </cell>
        </row>
        <row r="57">
          <cell r="F57">
            <v>119193.01119050012</v>
          </cell>
        </row>
      </sheetData>
      <sheetData sheetId="23"/>
      <sheetData sheetId="24">
        <row r="53">
          <cell r="G53">
            <v>14086.246439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шифровка за 2021"/>
      <sheetName val="Корр"/>
      <sheetName val="Калькуляция 2023"/>
      <sheetName val="Сравн. анализ"/>
      <sheetName val="сч.20"/>
      <sheetName val="сч.26"/>
      <sheetName val="сч.90, 91"/>
      <sheetName val="Ремонт и содерж. ОС"/>
      <sheetName val="Транспорт,страхов."/>
      <sheetName val="Консульт,связь,прочие"/>
      <sheetName val="ОТТБ"/>
      <sheetName val="Обучение,командиров."/>
      <sheetName val="Юр.,зем.нал"/>
      <sheetName val="П1.16"/>
      <sheetName val="Труд"/>
      <sheetName val="Аренда"/>
      <sheetName val="Потери"/>
      <sheetName val="ТСО"/>
      <sheetName val="Сдача в аренду"/>
      <sheetName val="Кредит,%"/>
      <sheetName val="Резерв"/>
      <sheetName val="ТЭП"/>
      <sheetName val="ремонт 2021 (факт)"/>
    </sheetNames>
    <sheetDataSet>
      <sheetData sheetId="0" refreshError="1"/>
      <sheetData sheetId="1" refreshError="1">
        <row r="12">
          <cell r="F12">
            <v>1839.69</v>
          </cell>
        </row>
        <row r="43">
          <cell r="F43">
            <v>-12627.27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2">
          <cell r="L42">
            <v>526</v>
          </cell>
        </row>
      </sheetData>
      <sheetData sheetId="13" refreshError="1"/>
      <sheetData sheetId="14" refreshError="1"/>
      <sheetData sheetId="15" refreshError="1">
        <row r="8">
          <cell r="M8">
            <v>15.44</v>
          </cell>
        </row>
        <row r="9">
          <cell r="M9">
            <v>4719.92</v>
          </cell>
        </row>
        <row r="10">
          <cell r="M10">
            <v>0.53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>
        <row r="12">
          <cell r="E12">
            <v>3548.56</v>
          </cell>
        </row>
      </sheetData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2229-1FC9-4F17-B236-0C02407158D1}">
  <sheetPr>
    <pageSetUpPr fitToPage="1"/>
  </sheetPr>
  <dimension ref="A1:IQ107"/>
  <sheetViews>
    <sheetView tabSelected="1" view="pageBreakPreview" topLeftCell="A82" zoomScaleNormal="100" zoomScaleSheetLayoutView="100" workbookViewId="0">
      <selection activeCell="A10" sqref="A10:N10"/>
    </sheetView>
  </sheetViews>
  <sheetFormatPr defaultRowHeight="15" outlineLevelRow="1" outlineLevelCol="1" x14ac:dyDescent="0.25"/>
  <cols>
    <col min="1" max="1" width="8.28515625" style="2" customWidth="1"/>
    <col min="2" max="2" width="51.85546875" style="1" customWidth="1"/>
    <col min="3" max="3" width="12.85546875" style="1" customWidth="1"/>
    <col min="4" max="6" width="14.5703125" style="2" hidden="1" customWidth="1" outlineLevel="1"/>
    <col min="7" max="7" width="15.85546875" style="2" hidden="1" customWidth="1" outlineLevel="1"/>
    <col min="8" max="8" width="17.85546875" style="2" hidden="1" customWidth="1" outlineLevel="1"/>
    <col min="9" max="9" width="17.85546875" style="2" customWidth="1" collapsed="1"/>
    <col min="10" max="10" width="12.5703125" style="3" customWidth="1"/>
    <col min="11" max="11" width="11.28515625" style="3" bestFit="1" customWidth="1"/>
    <col min="12" max="12" width="9.85546875" style="3" bestFit="1" customWidth="1"/>
    <col min="13" max="13" width="11.28515625" style="3" bestFit="1" customWidth="1"/>
    <col min="14" max="14" width="11.28515625" style="4" bestFit="1" customWidth="1"/>
    <col min="15" max="15" width="9.140625" style="1"/>
    <col min="16" max="16" width="10.85546875" style="1" bestFit="1" customWidth="1"/>
    <col min="17" max="224" width="9.140625" style="1"/>
    <col min="225" max="225" width="9.5703125" style="1" customWidth="1"/>
    <col min="226" max="226" width="55.28515625" style="1" customWidth="1"/>
    <col min="227" max="227" width="12.5703125" style="1" customWidth="1"/>
    <col min="228" max="228" width="21.5703125" style="1" customWidth="1"/>
    <col min="229" max="229" width="22.140625" style="1" customWidth="1"/>
    <col min="230" max="230" width="19.5703125" style="1" customWidth="1"/>
    <col min="231" max="231" width="19.85546875" style="1" customWidth="1"/>
    <col min="232" max="232" width="18.85546875" style="1" customWidth="1"/>
    <col min="233" max="233" width="20.5703125" style="1" customWidth="1"/>
    <col min="234" max="234" width="20.85546875" style="1" customWidth="1"/>
    <col min="235" max="235" width="19.140625" style="1" customWidth="1"/>
    <col min="236" max="236" width="18" style="1" customWidth="1"/>
    <col min="237" max="238" width="9.140625" style="1"/>
    <col min="239" max="239" width="15.140625" style="1" customWidth="1"/>
    <col min="240" max="251" width="9.140625" style="1"/>
  </cols>
  <sheetData>
    <row r="1" spans="1:251" ht="31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</row>
    <row r="2" spans="1:251" x14ac:dyDescent="0.25">
      <c r="A2" s="7"/>
      <c r="B2" s="7"/>
      <c r="C2" s="7"/>
      <c r="D2" s="7"/>
      <c r="E2" s="7"/>
      <c r="F2" s="7"/>
      <c r="G2" s="7"/>
      <c r="H2" s="7"/>
      <c r="I2" s="7"/>
    </row>
    <row r="3" spans="1:251" x14ac:dyDescent="0.25">
      <c r="A3" s="8" t="s">
        <v>1</v>
      </c>
      <c r="B3" s="9"/>
      <c r="C3" s="9"/>
      <c r="D3" s="10"/>
      <c r="E3" s="10"/>
      <c r="F3" s="10"/>
      <c r="G3" s="10"/>
      <c r="H3" s="11"/>
      <c r="I3" s="11"/>
      <c r="J3" s="12"/>
      <c r="K3" s="12"/>
      <c r="L3" s="12"/>
      <c r="M3" s="12"/>
      <c r="N3" s="13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</row>
    <row r="4" spans="1:251" ht="41.25" customHeight="1" x14ac:dyDescent="0.25">
      <c r="A4" s="15" t="s">
        <v>2</v>
      </c>
      <c r="B4" s="16" t="s">
        <v>3</v>
      </c>
      <c r="C4" s="17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9" t="s">
        <v>10</v>
      </c>
      <c r="J4" s="19" t="s">
        <v>11</v>
      </c>
      <c r="K4" s="20">
        <v>2026</v>
      </c>
      <c r="L4" s="20">
        <v>2027</v>
      </c>
      <c r="M4" s="20">
        <v>2028</v>
      </c>
      <c r="N4" s="20">
        <v>2029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</row>
    <row r="5" spans="1:251" ht="15.75" x14ac:dyDescent="0.25">
      <c r="A5" s="21" t="s">
        <v>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</row>
    <row r="6" spans="1:251" x14ac:dyDescent="0.25">
      <c r="A6" s="16">
        <v>1</v>
      </c>
      <c r="B6" s="23" t="s">
        <v>13</v>
      </c>
      <c r="C6" s="16"/>
      <c r="D6" s="24">
        <v>0.01</v>
      </c>
      <c r="E6" s="24">
        <v>0.01</v>
      </c>
      <c r="F6" s="24">
        <v>0.01</v>
      </c>
      <c r="G6" s="24">
        <v>0.01</v>
      </c>
      <c r="H6" s="24">
        <v>0.01</v>
      </c>
      <c r="I6" s="25">
        <v>0.01</v>
      </c>
      <c r="J6" s="25">
        <v>0.01</v>
      </c>
      <c r="K6" s="25">
        <v>0.01</v>
      </c>
      <c r="L6" s="25">
        <v>0.01</v>
      </c>
      <c r="M6" s="25">
        <v>0.01</v>
      </c>
      <c r="N6" s="25">
        <v>0.01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</row>
    <row r="7" spans="1:251" ht="25.5" x14ac:dyDescent="0.25">
      <c r="A7" s="16">
        <v>2</v>
      </c>
      <c r="B7" s="23" t="s">
        <v>14</v>
      </c>
      <c r="C7" s="16"/>
      <c r="D7" s="24">
        <v>0.75</v>
      </c>
      <c r="E7" s="24">
        <v>0.75</v>
      </c>
      <c r="F7" s="24">
        <v>0.75</v>
      </c>
      <c r="G7" s="24">
        <v>0.75</v>
      </c>
      <c r="H7" s="24">
        <v>0.75</v>
      </c>
      <c r="I7" s="25">
        <v>0.75</v>
      </c>
      <c r="J7" s="25">
        <v>0.75</v>
      </c>
      <c r="K7" s="25">
        <v>0.75</v>
      </c>
      <c r="L7" s="25">
        <v>0.75</v>
      </c>
      <c r="M7" s="25">
        <v>0.75</v>
      </c>
      <c r="N7" s="25">
        <v>0.75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</row>
    <row r="8" spans="1:251" ht="25.5" x14ac:dyDescent="0.25">
      <c r="A8" s="16">
        <v>3</v>
      </c>
      <c r="B8" s="23" t="s">
        <v>15</v>
      </c>
      <c r="C8" s="16" t="s">
        <v>16</v>
      </c>
      <c r="D8" s="24">
        <v>1.5</v>
      </c>
      <c r="E8" s="24">
        <v>1.5</v>
      </c>
      <c r="F8" s="24">
        <v>1.5</v>
      </c>
      <c r="G8" s="24">
        <v>1.5</v>
      </c>
      <c r="H8" s="24">
        <v>1.5</v>
      </c>
      <c r="I8" s="25">
        <v>1.5</v>
      </c>
      <c r="J8" s="25">
        <v>1.5</v>
      </c>
      <c r="K8" s="25">
        <f>J8</f>
        <v>1.5</v>
      </c>
      <c r="L8" s="25">
        <f t="shared" ref="L8:N8" si="0">K8</f>
        <v>1.5</v>
      </c>
      <c r="M8" s="25">
        <f t="shared" si="0"/>
        <v>1.5</v>
      </c>
      <c r="N8" s="25">
        <f t="shared" si="0"/>
        <v>1.5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</row>
    <row r="9" spans="1:251" x14ac:dyDescent="0.25">
      <c r="A9" s="16">
        <v>4</v>
      </c>
      <c r="B9" s="23" t="s">
        <v>17</v>
      </c>
      <c r="C9" s="16"/>
      <c r="D9" s="16">
        <v>2</v>
      </c>
      <c r="E9" s="16">
        <v>2</v>
      </c>
      <c r="F9" s="16">
        <v>2</v>
      </c>
      <c r="G9" s="16">
        <v>2</v>
      </c>
      <c r="H9" s="26">
        <v>2</v>
      </c>
      <c r="I9" s="25">
        <v>2</v>
      </c>
      <c r="J9" s="25">
        <v>2</v>
      </c>
      <c r="K9" s="25">
        <v>2</v>
      </c>
      <c r="L9" s="25">
        <v>2</v>
      </c>
      <c r="M9" s="25">
        <v>2</v>
      </c>
      <c r="N9" s="25">
        <v>2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</row>
    <row r="10" spans="1:251" ht="15.75" customHeight="1" x14ac:dyDescent="0.25">
      <c r="A10" s="27" t="s">
        <v>18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</row>
    <row r="11" spans="1:251" x14ac:dyDescent="0.25">
      <c r="A11" s="16">
        <v>1</v>
      </c>
      <c r="B11" s="23" t="s">
        <v>19</v>
      </c>
      <c r="C11" s="16"/>
      <c r="D11" s="29">
        <v>1.03</v>
      </c>
      <c r="E11" s="29">
        <f>1.036</f>
        <v>1.036</v>
      </c>
      <c r="F11" s="30">
        <f>1.043</f>
        <v>1.0429999999999999</v>
      </c>
      <c r="G11" s="30">
        <f>1.06</f>
        <v>1.06</v>
      </c>
      <c r="H11" s="31">
        <v>1.0720000000000001</v>
      </c>
      <c r="I11" s="31">
        <v>1.0580000000000001</v>
      </c>
      <c r="J11" s="31">
        <v>1.0580000000000001</v>
      </c>
      <c r="K11" s="29">
        <v>1.0509999999999999</v>
      </c>
      <c r="L11" s="32">
        <v>1.04</v>
      </c>
      <c r="M11" s="32">
        <v>1.04</v>
      </c>
      <c r="N11" s="32">
        <v>1.04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</row>
    <row r="12" spans="1:251" x14ac:dyDescent="0.25">
      <c r="A12" s="16">
        <v>2</v>
      </c>
      <c r="B12" s="23" t="s">
        <v>20</v>
      </c>
      <c r="C12" s="16" t="s">
        <v>21</v>
      </c>
      <c r="D12" s="32">
        <v>2627.53</v>
      </c>
      <c r="E12" s="32">
        <v>2637.78</v>
      </c>
      <c r="F12" s="32">
        <v>2905.23</v>
      </c>
      <c r="G12" s="32">
        <v>3205.66</v>
      </c>
      <c r="H12" s="25">
        <v>4098.3599999999997</v>
      </c>
      <c r="I12" s="25">
        <v>6612.53</v>
      </c>
      <c r="J12" s="25">
        <v>6612.53</v>
      </c>
      <c r="K12" s="25">
        <f>'[1]у.е. табл 2.2'!G53</f>
        <v>14086.246439</v>
      </c>
      <c r="L12" s="25">
        <f t="shared" ref="L12:N12" si="1">K12</f>
        <v>14086.246439</v>
      </c>
      <c r="M12" s="25">
        <f t="shared" si="1"/>
        <v>14086.246439</v>
      </c>
      <c r="N12" s="25">
        <f t="shared" si="1"/>
        <v>14086.246439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</row>
    <row r="13" spans="1:251" x14ac:dyDescent="0.25">
      <c r="A13" s="16">
        <v>3</v>
      </c>
      <c r="B13" s="23" t="s">
        <v>22</v>
      </c>
      <c r="C13" s="16"/>
      <c r="D13" s="33">
        <f>(D12-2741.6)/2741.6</f>
        <v>-4.1607090749926946E-2</v>
      </c>
      <c r="E13" s="33">
        <f>(E12-D12)/D12</f>
        <v>3.9010020818030619E-3</v>
      </c>
      <c r="F13" s="33">
        <f>(F12-E12)/E12</f>
        <v>0.10139207970338686</v>
      </c>
      <c r="G13" s="33">
        <f>(G12-F12)/F12</f>
        <v>0.10341005703507118</v>
      </c>
      <c r="H13" s="33">
        <f>(H12-G12)/G12</f>
        <v>0.27847619522968747</v>
      </c>
      <c r="I13" s="33"/>
      <c r="J13" s="24"/>
      <c r="K13" s="24">
        <f t="shared" ref="K13:N13" si="2">(K12-J12)/J12</f>
        <v>1.1302355435816549</v>
      </c>
      <c r="L13" s="24">
        <f t="shared" si="2"/>
        <v>0</v>
      </c>
      <c r="M13" s="24">
        <f t="shared" si="2"/>
        <v>0</v>
      </c>
      <c r="N13" s="24">
        <f t="shared" si="2"/>
        <v>0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</row>
    <row r="14" spans="1:251" x14ac:dyDescent="0.25">
      <c r="A14" s="16">
        <v>4</v>
      </c>
      <c r="B14" s="23" t="s">
        <v>23</v>
      </c>
      <c r="C14" s="16"/>
      <c r="D14" s="33">
        <f>D11*(1+D7*D13)*(1-D6)</f>
        <v>0.98787993717172473</v>
      </c>
      <c r="E14" s="33">
        <f>E11*(1+E7*E13)*(1-E6)</f>
        <v>1.0286407678313854</v>
      </c>
      <c r="F14" s="33">
        <f>F11*(1+F7*F13)*(1-F6)</f>
        <v>1.1110908148044947</v>
      </c>
      <c r="G14" s="33">
        <f>ROUND(G11*(1+G7*G13)*(1-G6),3)</f>
        <v>1.131</v>
      </c>
      <c r="H14" s="33">
        <f>ROUND(H11*(1+H7*H13)*(1-H6),3)</f>
        <v>1.2829999999999999</v>
      </c>
      <c r="I14" s="33"/>
      <c r="J14" s="24"/>
      <c r="K14" s="24">
        <f>ROUND(K11*(1+K7*K13)*(1-K6),3)</f>
        <v>1.9219999999999999</v>
      </c>
      <c r="L14" s="24">
        <f t="shared" ref="L14:N14" si="3">ROUND(L11*(1+L7*L13)*(1-L6),3)</f>
        <v>1.03</v>
      </c>
      <c r="M14" s="24">
        <f t="shared" si="3"/>
        <v>1.03</v>
      </c>
      <c r="N14" s="24">
        <f t="shared" si="3"/>
        <v>1.03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</row>
    <row r="15" spans="1:251" x14ac:dyDescent="0.25">
      <c r="B15" s="34"/>
      <c r="C15" s="2"/>
      <c r="D15" s="35"/>
      <c r="E15" s="35"/>
      <c r="F15" s="35"/>
      <c r="G15" s="35"/>
    </row>
    <row r="16" spans="1:251" ht="15.75" x14ac:dyDescent="0.25">
      <c r="A16" s="36" t="s">
        <v>24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spans="1:251" x14ac:dyDescent="0.25">
      <c r="A17" s="37"/>
      <c r="B17" s="37"/>
      <c r="C17" s="37"/>
      <c r="D17" s="38"/>
      <c r="E17" s="38"/>
      <c r="F17" s="38"/>
      <c r="G17" s="38"/>
      <c r="H17" s="39"/>
      <c r="I17" s="39"/>
      <c r="J17" s="40"/>
      <c r="K17" s="40"/>
      <c r="L17" s="40"/>
      <c r="M17" s="40"/>
      <c r="N17" s="41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</row>
    <row r="18" spans="1:251" s="38" customFormat="1" ht="31.5" customHeight="1" x14ac:dyDescent="0.25">
      <c r="A18" s="15" t="s">
        <v>2</v>
      </c>
      <c r="B18" s="17" t="s">
        <v>3</v>
      </c>
      <c r="C18" s="17" t="s">
        <v>4</v>
      </c>
      <c r="D18" s="18" t="s">
        <v>25</v>
      </c>
      <c r="E18" s="18" t="s">
        <v>6</v>
      </c>
      <c r="F18" s="18" t="s">
        <v>7</v>
      </c>
      <c r="G18" s="42" t="s">
        <v>26</v>
      </c>
      <c r="H18" s="43" t="s">
        <v>27</v>
      </c>
      <c r="I18" s="43" t="s">
        <v>28</v>
      </c>
      <c r="J18" s="44">
        <v>2025</v>
      </c>
      <c r="K18" s="45">
        <v>2026</v>
      </c>
      <c r="L18" s="45">
        <v>2027</v>
      </c>
      <c r="M18" s="45">
        <v>2028</v>
      </c>
      <c r="N18" s="45">
        <v>2029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hidden="1" outlineLevel="1" x14ac:dyDescent="0.25">
      <c r="A19" s="46"/>
      <c r="B19" s="47"/>
      <c r="C19" s="47"/>
      <c r="D19" s="18"/>
      <c r="E19" s="18"/>
      <c r="F19" s="18"/>
      <c r="G19" s="42"/>
      <c r="H19" s="48"/>
      <c r="I19" s="48"/>
      <c r="J19" s="49"/>
      <c r="K19" s="49"/>
      <c r="L19" s="49"/>
      <c r="M19" s="49"/>
      <c r="N19" s="50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</row>
    <row r="20" spans="1:251" ht="15.75" collapsed="1" x14ac:dyDescent="0.25">
      <c r="A20" s="51" t="s">
        <v>29</v>
      </c>
      <c r="B20" s="52" t="s">
        <v>30</v>
      </c>
      <c r="C20" s="53"/>
      <c r="D20" s="51"/>
      <c r="E20" s="51"/>
      <c r="F20" s="51"/>
      <c r="G20" s="51"/>
      <c r="H20" s="51"/>
      <c r="I20" s="51"/>
      <c r="J20" s="54"/>
      <c r="K20" s="54"/>
      <c r="L20" s="54"/>
      <c r="M20" s="54"/>
      <c r="N20" s="55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</row>
    <row r="21" spans="1:251" x14ac:dyDescent="0.25">
      <c r="A21" s="57" t="s">
        <v>31</v>
      </c>
      <c r="B21" s="58" t="s">
        <v>32</v>
      </c>
      <c r="C21" s="59" t="s">
        <v>33</v>
      </c>
      <c r="D21" s="60">
        <f t="shared" ref="D21:N22" si="4">D22</f>
        <v>136.59</v>
      </c>
      <c r="E21" s="60">
        <f t="shared" si="4"/>
        <v>140.5</v>
      </c>
      <c r="F21" s="60">
        <f t="shared" si="4"/>
        <v>156.11000000000001</v>
      </c>
      <c r="G21" s="60">
        <f t="shared" si="4"/>
        <v>176.56</v>
      </c>
      <c r="H21" s="60">
        <f t="shared" si="4"/>
        <v>257.79000000000002</v>
      </c>
      <c r="I21" s="60">
        <f t="shared" si="4"/>
        <v>250.12</v>
      </c>
      <c r="J21" s="61">
        <f t="shared" si="4"/>
        <v>95.4</v>
      </c>
      <c r="K21" s="61">
        <f t="shared" si="4"/>
        <v>480.73063999999999</v>
      </c>
      <c r="L21" s="61">
        <f t="shared" si="4"/>
        <v>495.15255919999998</v>
      </c>
      <c r="M21" s="61">
        <f t="shared" si="4"/>
        <v>510.00713597599997</v>
      </c>
      <c r="N21" s="61">
        <f t="shared" si="4"/>
        <v>525.30735005528004</v>
      </c>
    </row>
    <row r="22" spans="1:251" x14ac:dyDescent="0.25">
      <c r="A22" s="62" t="s">
        <v>34</v>
      </c>
      <c r="B22" s="63" t="s">
        <v>35</v>
      </c>
      <c r="C22" s="59" t="s">
        <v>33</v>
      </c>
      <c r="D22" s="32">
        <f t="shared" si="4"/>
        <v>136.59</v>
      </c>
      <c r="E22" s="32">
        <f t="shared" si="4"/>
        <v>140.5</v>
      </c>
      <c r="F22" s="32">
        <f t="shared" si="4"/>
        <v>156.11000000000001</v>
      </c>
      <c r="G22" s="32">
        <f t="shared" si="4"/>
        <v>176.56</v>
      </c>
      <c r="H22" s="32">
        <f t="shared" si="4"/>
        <v>257.79000000000002</v>
      </c>
      <c r="I22" s="32">
        <f>I23</f>
        <v>250.12</v>
      </c>
      <c r="J22" s="64">
        <f>J23</f>
        <v>95.4</v>
      </c>
      <c r="K22" s="64">
        <f>K23</f>
        <v>480.73063999999999</v>
      </c>
      <c r="L22" s="64">
        <f t="shared" si="4"/>
        <v>495.15255919999998</v>
      </c>
      <c r="M22" s="64">
        <f t="shared" si="4"/>
        <v>510.00713597599997</v>
      </c>
      <c r="N22" s="64">
        <f t="shared" si="4"/>
        <v>525.30735005528004</v>
      </c>
    </row>
    <row r="23" spans="1:251" x14ac:dyDescent="0.25">
      <c r="A23" s="62" t="s">
        <v>36</v>
      </c>
      <c r="B23" s="65" t="s">
        <v>37</v>
      </c>
      <c r="C23" s="59" t="s">
        <v>33</v>
      </c>
      <c r="D23" s="32">
        <v>136.59</v>
      </c>
      <c r="E23" s="32">
        <v>140.5</v>
      </c>
      <c r="F23" s="32">
        <v>156.11000000000001</v>
      </c>
      <c r="G23" s="32">
        <f>ROUND((F23*$G$14),2)</f>
        <v>176.56</v>
      </c>
      <c r="H23" s="32">
        <v>257.79000000000002</v>
      </c>
      <c r="I23" s="32">
        <v>250.12</v>
      </c>
      <c r="J23" s="64">
        <v>95.4</v>
      </c>
      <c r="K23" s="64">
        <f>I23*K14</f>
        <v>480.73063999999999</v>
      </c>
      <c r="L23" s="64">
        <f t="shared" ref="L23:N23" si="5">K23*L14</f>
        <v>495.15255919999998</v>
      </c>
      <c r="M23" s="64">
        <f t="shared" si="5"/>
        <v>510.00713597599997</v>
      </c>
      <c r="N23" s="64">
        <f t="shared" si="5"/>
        <v>525.30735005528004</v>
      </c>
    </row>
    <row r="24" spans="1:251" x14ac:dyDescent="0.25">
      <c r="A24" s="57" t="s">
        <v>38</v>
      </c>
      <c r="B24" s="66" t="s">
        <v>39</v>
      </c>
      <c r="C24" s="59" t="s">
        <v>33</v>
      </c>
      <c r="D24" s="60">
        <f t="shared" ref="D24:N24" si="6">D25+D28+D31</f>
        <v>60568.87</v>
      </c>
      <c r="E24" s="60">
        <f t="shared" si="6"/>
        <v>62303.599999999991</v>
      </c>
      <c r="F24" s="60">
        <f t="shared" si="6"/>
        <v>69226.78</v>
      </c>
      <c r="G24" s="60">
        <f t="shared" si="6"/>
        <v>78295.48</v>
      </c>
      <c r="H24" s="60">
        <f t="shared" si="6"/>
        <v>133382.97</v>
      </c>
      <c r="I24" s="60">
        <f t="shared" si="6"/>
        <v>182007.26772</v>
      </c>
      <c r="J24" s="61">
        <f t="shared" si="6"/>
        <v>69516.72</v>
      </c>
      <c r="K24" s="61">
        <f t="shared" si="6"/>
        <v>349817.96855783998</v>
      </c>
      <c r="L24" s="61">
        <f t="shared" si="6"/>
        <v>360312.50761457515</v>
      </c>
      <c r="M24" s="61">
        <f t="shared" si="6"/>
        <v>371121.8828430124</v>
      </c>
      <c r="N24" s="61">
        <f t="shared" si="6"/>
        <v>382255.53932830278</v>
      </c>
      <c r="P24" s="4">
        <f>19242*(J26+J29+J32)*12*0.304</f>
        <v>13828378.752</v>
      </c>
    </row>
    <row r="25" spans="1:251" outlineLevel="1" x14ac:dyDescent="0.25">
      <c r="A25" s="67" t="s">
        <v>40</v>
      </c>
      <c r="B25" s="68" t="s">
        <v>41</v>
      </c>
      <c r="C25" s="59" t="s">
        <v>33</v>
      </c>
      <c r="D25" s="32">
        <f>ROUND((D27/1000*12*D26),2)</f>
        <v>20523.34</v>
      </c>
      <c r="E25" s="32">
        <v>21111.14</v>
      </c>
      <c r="F25" s="32">
        <v>23457.01</v>
      </c>
      <c r="G25" s="32">
        <f>ROUND((F25*$G$14),2)</f>
        <v>26529.88</v>
      </c>
      <c r="H25" s="32">
        <v>40771.9</v>
      </c>
      <c r="I25" s="32">
        <f>I26*I27*12/1000</f>
        <v>45270.843240000002</v>
      </c>
      <c r="J25" s="64">
        <v>17290.96</v>
      </c>
      <c r="K25" s="64">
        <f>I25*K14</f>
        <v>87010.560707280005</v>
      </c>
      <c r="L25" s="64">
        <f t="shared" ref="L25:N25" si="7">K25*L14</f>
        <v>89620.8775284984</v>
      </c>
      <c r="M25" s="64">
        <f t="shared" si="7"/>
        <v>92309.503854353359</v>
      </c>
      <c r="N25" s="64">
        <f t="shared" si="7"/>
        <v>95078.788969983958</v>
      </c>
      <c r="P25" s="4">
        <f>(J24*1000-19242*(J26+J29+J32)*12)*(0.11+0.0145+0.0255+0.004)</f>
        <v>3700409.3279999997</v>
      </c>
    </row>
    <row r="26" spans="1:251" outlineLevel="1" x14ac:dyDescent="0.25">
      <c r="A26" s="67"/>
      <c r="B26" s="68" t="s">
        <v>42</v>
      </c>
      <c r="C26" s="59" t="s">
        <v>43</v>
      </c>
      <c r="D26" s="45">
        <v>41</v>
      </c>
      <c r="E26" s="45">
        <v>41</v>
      </c>
      <c r="F26" s="45">
        <v>41</v>
      </c>
      <c r="G26" s="45">
        <f>D26</f>
        <v>41</v>
      </c>
      <c r="H26" s="45">
        <v>41</v>
      </c>
      <c r="I26" s="45">
        <v>49</v>
      </c>
      <c r="J26" s="64">
        <f>I26</f>
        <v>49</v>
      </c>
      <c r="K26" s="64">
        <f>J26</f>
        <v>49</v>
      </c>
      <c r="L26" s="64">
        <f t="shared" ref="L26:N26" si="8">K26</f>
        <v>49</v>
      </c>
      <c r="M26" s="64">
        <f t="shared" si="8"/>
        <v>49</v>
      </c>
      <c r="N26" s="64">
        <f t="shared" si="8"/>
        <v>49</v>
      </c>
    </row>
    <row r="27" spans="1:251" outlineLevel="1" x14ac:dyDescent="0.25">
      <c r="A27" s="67"/>
      <c r="B27" s="68" t="s">
        <v>44</v>
      </c>
      <c r="C27" s="59" t="s">
        <v>45</v>
      </c>
      <c r="D27" s="32">
        <v>41714.1</v>
      </c>
      <c r="E27" s="32">
        <f>E25/E26/12*1000</f>
        <v>42908.82113821138</v>
      </c>
      <c r="F27" s="32">
        <f>F25/F26/12*1000</f>
        <v>47676.849593495936</v>
      </c>
      <c r="G27" s="32">
        <f>G25/G26/12*1000</f>
        <v>53922.520325203259</v>
      </c>
      <c r="H27" s="32">
        <v>82869.715447154478</v>
      </c>
      <c r="I27" s="32">
        <v>76991.23</v>
      </c>
      <c r="J27" s="64">
        <f>J25/J26/12*1000</f>
        <v>29406.394557823129</v>
      </c>
      <c r="K27" s="64">
        <f t="shared" ref="K27:N27" si="9">K25/K26/12*1000</f>
        <v>147977.14405999999</v>
      </c>
      <c r="L27" s="64">
        <f t="shared" si="9"/>
        <v>152416.45838180001</v>
      </c>
      <c r="M27" s="64">
        <f t="shared" si="9"/>
        <v>156988.952133254</v>
      </c>
      <c r="N27" s="64">
        <f t="shared" si="9"/>
        <v>161698.62069725164</v>
      </c>
    </row>
    <row r="28" spans="1:251" outlineLevel="1" x14ac:dyDescent="0.25">
      <c r="A28" s="67" t="s">
        <v>46</v>
      </c>
      <c r="B28" s="68" t="s">
        <v>47</v>
      </c>
      <c r="C28" s="59" t="s">
        <v>33</v>
      </c>
      <c r="D28" s="32">
        <f>ROUND((D30/1000*12*D29),2)</f>
        <v>16018.21</v>
      </c>
      <c r="E28" s="32">
        <v>16476.98</v>
      </c>
      <c r="F28" s="32">
        <v>18307.900000000001</v>
      </c>
      <c r="G28" s="32">
        <f>ROUND((F28*$G$14),2)</f>
        <v>20706.23</v>
      </c>
      <c r="H28" s="32">
        <v>39022.53</v>
      </c>
      <c r="I28" s="32">
        <f>I29*I30*12/1000</f>
        <v>31412.421839999995</v>
      </c>
      <c r="J28" s="64">
        <v>12068.39</v>
      </c>
      <c r="K28" s="64">
        <f>I28*K14</f>
        <v>60374.674776479987</v>
      </c>
      <c r="L28" s="64">
        <f t="shared" ref="L28:N28" si="10">K28*L14</f>
        <v>62185.915019774387</v>
      </c>
      <c r="M28" s="64">
        <f t="shared" si="10"/>
        <v>64051.492470367622</v>
      </c>
      <c r="N28" s="64">
        <f t="shared" si="10"/>
        <v>65973.037244478648</v>
      </c>
    </row>
    <row r="29" spans="1:251" outlineLevel="1" x14ac:dyDescent="0.25">
      <c r="A29" s="67"/>
      <c r="B29" s="68" t="s">
        <v>48</v>
      </c>
      <c r="C29" s="59" t="s">
        <v>43</v>
      </c>
      <c r="D29" s="45">
        <v>32</v>
      </c>
      <c r="E29" s="45">
        <v>32</v>
      </c>
      <c r="F29" s="45">
        <v>32</v>
      </c>
      <c r="G29" s="45">
        <f>D29</f>
        <v>32</v>
      </c>
      <c r="H29" s="45">
        <v>32</v>
      </c>
      <c r="I29" s="45">
        <v>34</v>
      </c>
      <c r="J29" s="64">
        <f>I29</f>
        <v>34</v>
      </c>
      <c r="K29" s="64">
        <f>J29</f>
        <v>34</v>
      </c>
      <c r="L29" s="64">
        <f t="shared" ref="L29:N29" si="11">K29</f>
        <v>34</v>
      </c>
      <c r="M29" s="64">
        <f t="shared" si="11"/>
        <v>34</v>
      </c>
      <c r="N29" s="64">
        <f t="shared" si="11"/>
        <v>34</v>
      </c>
    </row>
    <row r="30" spans="1:251" outlineLevel="1" x14ac:dyDescent="0.25">
      <c r="A30" s="67"/>
      <c r="B30" s="68" t="s">
        <v>49</v>
      </c>
      <c r="C30" s="59" t="s">
        <v>45</v>
      </c>
      <c r="D30" s="32">
        <v>41714.1</v>
      </c>
      <c r="E30" s="32">
        <f>E28/E29/12*1000</f>
        <v>42908.802083333336</v>
      </c>
      <c r="F30" s="32">
        <f>F28/F29/12*1000</f>
        <v>47676.822916666672</v>
      </c>
      <c r="G30" s="32">
        <f>G28/G29/12*1000</f>
        <v>53922.473958333336</v>
      </c>
      <c r="H30" s="32">
        <v>101621.171875</v>
      </c>
      <c r="I30" s="32">
        <v>76991.23</v>
      </c>
      <c r="J30" s="64">
        <f>J28/J29/12*1000</f>
        <v>29579.387254901958</v>
      </c>
      <c r="K30" s="64">
        <f t="shared" ref="K30:N30" si="12">K28/K29/12*1000</f>
        <v>147977.14405999996</v>
      </c>
      <c r="L30" s="64">
        <f t="shared" si="12"/>
        <v>152416.45838179998</v>
      </c>
      <c r="M30" s="64">
        <f t="shared" si="12"/>
        <v>156988.95213325397</v>
      </c>
      <c r="N30" s="64">
        <f t="shared" si="12"/>
        <v>161698.62069725158</v>
      </c>
    </row>
    <row r="31" spans="1:251" outlineLevel="1" x14ac:dyDescent="0.25">
      <c r="A31" s="67" t="s">
        <v>50</v>
      </c>
      <c r="B31" s="68" t="s">
        <v>51</v>
      </c>
      <c r="C31" s="59" t="s">
        <v>33</v>
      </c>
      <c r="D31" s="32">
        <f>ROUND((D33/1000*12*D32),2)</f>
        <v>24027.32</v>
      </c>
      <c r="E31" s="32">
        <v>24715.48</v>
      </c>
      <c r="F31" s="32">
        <v>27461.87</v>
      </c>
      <c r="G31" s="32">
        <f>ROUND((F31*$G$14),2)</f>
        <v>31059.37</v>
      </c>
      <c r="H31" s="32">
        <v>53588.54</v>
      </c>
      <c r="I31" s="32">
        <f>I32*I33*12/1000</f>
        <v>105324.00263999999</v>
      </c>
      <c r="J31" s="64">
        <v>40157.370000000003</v>
      </c>
      <c r="K31" s="64">
        <f>I31*K14</f>
        <v>202432.73307407997</v>
      </c>
      <c r="L31" s="64">
        <f t="shared" ref="L31:N31" si="13">K31*L14</f>
        <v>208505.71506630236</v>
      </c>
      <c r="M31" s="64">
        <f t="shared" si="13"/>
        <v>214760.88651829143</v>
      </c>
      <c r="N31" s="64">
        <f t="shared" si="13"/>
        <v>221203.71311384017</v>
      </c>
    </row>
    <row r="32" spans="1:251" outlineLevel="1" x14ac:dyDescent="0.25">
      <c r="A32" s="67"/>
      <c r="B32" s="68" t="s">
        <v>52</v>
      </c>
      <c r="C32" s="59" t="s">
        <v>43</v>
      </c>
      <c r="D32" s="45">
        <v>48</v>
      </c>
      <c r="E32" s="45">
        <v>48</v>
      </c>
      <c r="F32" s="45">
        <v>48</v>
      </c>
      <c r="G32" s="45">
        <f>D32</f>
        <v>48</v>
      </c>
      <c r="H32" s="45">
        <v>48</v>
      </c>
      <c r="I32" s="45">
        <v>114</v>
      </c>
      <c r="J32" s="64">
        <f>I32</f>
        <v>114</v>
      </c>
      <c r="K32" s="64">
        <f>J32</f>
        <v>114</v>
      </c>
      <c r="L32" s="64">
        <f t="shared" ref="L32:N32" si="14">K32</f>
        <v>114</v>
      </c>
      <c r="M32" s="64">
        <f t="shared" si="14"/>
        <v>114</v>
      </c>
      <c r="N32" s="64">
        <f t="shared" si="14"/>
        <v>114</v>
      </c>
    </row>
    <row r="33" spans="1:251" outlineLevel="1" x14ac:dyDescent="0.25">
      <c r="A33" s="67"/>
      <c r="B33" s="68" t="s">
        <v>53</v>
      </c>
      <c r="C33" s="59" t="s">
        <v>45</v>
      </c>
      <c r="D33" s="32">
        <v>41714.1</v>
      </c>
      <c r="E33" s="32">
        <f>E31/E32/12*1000</f>
        <v>42908.819444444445</v>
      </c>
      <c r="F33" s="32">
        <f>F31/F32/12*1000</f>
        <v>47676.857638888891</v>
      </c>
      <c r="G33" s="32">
        <f>G31/G32/12*1000</f>
        <v>53922.517361111109</v>
      </c>
      <c r="H33" s="32">
        <v>93035.659722222234</v>
      </c>
      <c r="I33" s="32">
        <v>76991.23</v>
      </c>
      <c r="J33" s="64">
        <f>J31/J32/12*1000</f>
        <v>29354.80263157895</v>
      </c>
      <c r="K33" s="64">
        <f t="shared" ref="K33:N33" si="15">K31/K32/12*1000</f>
        <v>147977.14405999996</v>
      </c>
      <c r="L33" s="64">
        <f t="shared" si="15"/>
        <v>152416.45838179998</v>
      </c>
      <c r="M33" s="64">
        <f t="shared" si="15"/>
        <v>156988.95213325397</v>
      </c>
      <c r="N33" s="64">
        <f t="shared" si="15"/>
        <v>161698.62069725158</v>
      </c>
    </row>
    <row r="34" spans="1:251" x14ac:dyDescent="0.25">
      <c r="A34" s="57" t="s">
        <v>54</v>
      </c>
      <c r="B34" s="58" t="s">
        <v>55</v>
      </c>
      <c r="C34" s="59" t="s">
        <v>33</v>
      </c>
      <c r="D34" s="60">
        <f t="shared" ref="D34:J34" si="16">D35+D38+D55+D56+D57+D64+D65+D66+D69</f>
        <v>22804.569999999996</v>
      </c>
      <c r="E34" s="60">
        <f t="shared" si="16"/>
        <v>23457.690000000006</v>
      </c>
      <c r="F34" s="60">
        <f t="shared" si="16"/>
        <v>26064.320000000003</v>
      </c>
      <c r="G34" s="60">
        <f t="shared" si="16"/>
        <v>29478.739999999998</v>
      </c>
      <c r="H34" s="60">
        <f t="shared" si="16"/>
        <v>43039.640000000007</v>
      </c>
      <c r="I34" s="60">
        <f t="shared" si="16"/>
        <v>110983.03</v>
      </c>
      <c r="J34" s="61">
        <f t="shared" si="16"/>
        <v>61815.339999999989</v>
      </c>
      <c r="K34" s="61">
        <f>K35+K38+K55+K56+K57+K64+K65+K66+K69</f>
        <v>213309.38365999999</v>
      </c>
      <c r="L34" s="61">
        <f t="shared" ref="L34:N34" si="17">L35+L38+L55+L56+L57+L64+L65+L66+L69</f>
        <v>219708.66516979999</v>
      </c>
      <c r="M34" s="61">
        <f t="shared" si="17"/>
        <v>226299.92512489407</v>
      </c>
      <c r="N34" s="61">
        <f t="shared" si="17"/>
        <v>233088.92287864082</v>
      </c>
    </row>
    <row r="35" spans="1:251" x14ac:dyDescent="0.25">
      <c r="A35" s="57" t="s">
        <v>56</v>
      </c>
      <c r="B35" s="69" t="s">
        <v>57</v>
      </c>
      <c r="C35" s="70" t="s">
        <v>33</v>
      </c>
      <c r="D35" s="60">
        <f>D36+D37</f>
        <v>14015.59</v>
      </c>
      <c r="E35" s="60">
        <f>E36+E37</f>
        <v>14417</v>
      </c>
      <c r="F35" s="60">
        <f>F36+F37</f>
        <v>16019.02</v>
      </c>
      <c r="G35" s="60">
        <f>G36+G37</f>
        <v>18117.510000000002</v>
      </c>
      <c r="H35" s="60">
        <f>H36+H37</f>
        <v>26451.980000000003</v>
      </c>
      <c r="I35" s="60">
        <f t="shared" ref="I35:N35" si="18">I36+I37</f>
        <v>83264.61</v>
      </c>
      <c r="J35" s="61">
        <f t="shared" si="18"/>
        <v>47597.829999999994</v>
      </c>
      <c r="K35" s="61">
        <f t="shared" si="18"/>
        <v>160034.58042000001</v>
      </c>
      <c r="L35" s="61">
        <f t="shared" si="18"/>
        <v>164835.61783259999</v>
      </c>
      <c r="M35" s="61">
        <f t="shared" si="18"/>
        <v>169780.68636757802</v>
      </c>
      <c r="N35" s="61">
        <f t="shared" si="18"/>
        <v>174874.10695860535</v>
      </c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</row>
    <row r="36" spans="1:251" x14ac:dyDescent="0.25">
      <c r="A36" s="62" t="s">
        <v>58</v>
      </c>
      <c r="B36" s="72" t="s">
        <v>59</v>
      </c>
      <c r="C36" s="59" t="s">
        <v>33</v>
      </c>
      <c r="D36" s="32">
        <v>11474.65</v>
      </c>
      <c r="E36" s="32">
        <v>11803.29</v>
      </c>
      <c r="F36" s="32">
        <v>13114.87</v>
      </c>
      <c r="G36" s="32">
        <f>ROUND((F36*$G$14),2)</f>
        <v>14832.92</v>
      </c>
      <c r="H36" s="32">
        <v>21656.400000000001</v>
      </c>
      <c r="I36" s="32">
        <v>74848.3</v>
      </c>
      <c r="J36" s="64">
        <v>43204.27</v>
      </c>
      <c r="K36" s="64">
        <f>I36*K$14</f>
        <v>143858.4326</v>
      </c>
      <c r="L36" s="64">
        <f t="shared" ref="L36:N51" si="19">K36*L$14</f>
        <v>148174.185578</v>
      </c>
      <c r="M36" s="64">
        <f t="shared" si="19"/>
        <v>152619.41114534001</v>
      </c>
      <c r="N36" s="64">
        <f t="shared" si="19"/>
        <v>157197.99347970021</v>
      </c>
    </row>
    <row r="37" spans="1:251" x14ac:dyDescent="0.25">
      <c r="A37" s="62" t="s">
        <v>60</v>
      </c>
      <c r="B37" s="72" t="s">
        <v>61</v>
      </c>
      <c r="C37" s="59" t="s">
        <v>33</v>
      </c>
      <c r="D37" s="32">
        <v>2540.94</v>
      </c>
      <c r="E37" s="32">
        <v>2613.71</v>
      </c>
      <c r="F37" s="32">
        <v>2904.15</v>
      </c>
      <c r="G37" s="32">
        <f>ROUND((F37*$G$14),2)</f>
        <v>3284.59</v>
      </c>
      <c r="H37" s="32">
        <v>4795.58</v>
      </c>
      <c r="I37" s="32">
        <v>8416.31</v>
      </c>
      <c r="J37" s="64">
        <v>4393.5600000000004</v>
      </c>
      <c r="K37" s="64">
        <f>I37*K$14</f>
        <v>16176.147819999998</v>
      </c>
      <c r="L37" s="64">
        <f t="shared" si="19"/>
        <v>16661.4322546</v>
      </c>
      <c r="M37" s="64">
        <f t="shared" si="19"/>
        <v>17161.275222238</v>
      </c>
      <c r="N37" s="64">
        <f t="shared" si="19"/>
        <v>17676.113478905139</v>
      </c>
    </row>
    <row r="38" spans="1:251" x14ac:dyDescent="0.25">
      <c r="A38" s="57" t="s">
        <v>62</v>
      </c>
      <c r="B38" s="58" t="s">
        <v>63</v>
      </c>
      <c r="C38" s="70" t="s">
        <v>33</v>
      </c>
      <c r="D38" s="60">
        <f t="shared" ref="D38:H38" si="20">D39+D40+D44+D47+D48</f>
        <v>6501.48</v>
      </c>
      <c r="E38" s="60">
        <f t="shared" si="20"/>
        <v>6687.68</v>
      </c>
      <c r="F38" s="60">
        <f t="shared" si="20"/>
        <v>7430.8200000000006</v>
      </c>
      <c r="G38" s="60">
        <f t="shared" si="20"/>
        <v>8404.26</v>
      </c>
      <c r="H38" s="60">
        <f t="shared" si="20"/>
        <v>12270.41</v>
      </c>
      <c r="I38" s="60">
        <f>I39+I40+I44+I47+I48</f>
        <v>18325.79</v>
      </c>
      <c r="J38" s="61">
        <f>J39+J40+J44+J47+J48</f>
        <v>8837.57</v>
      </c>
      <c r="K38" s="61">
        <f t="shared" ref="K38:N38" si="21">K39+K40+K44+K47+K48</f>
        <v>35222.168380000003</v>
      </c>
      <c r="L38" s="61">
        <f t="shared" si="21"/>
        <v>36278.833431399995</v>
      </c>
      <c r="M38" s="61">
        <f t="shared" si="21"/>
        <v>37367.198434342004</v>
      </c>
      <c r="N38" s="61">
        <f t="shared" si="21"/>
        <v>38488.21438737226</v>
      </c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</row>
    <row r="39" spans="1:251" x14ac:dyDescent="0.25">
      <c r="A39" s="62" t="s">
        <v>64</v>
      </c>
      <c r="B39" s="63" t="s">
        <v>65</v>
      </c>
      <c r="C39" s="59" t="s">
        <v>33</v>
      </c>
      <c r="D39" s="32">
        <v>1094.43</v>
      </c>
      <c r="E39" s="32">
        <v>1125.78</v>
      </c>
      <c r="F39" s="32">
        <v>1250.8800000000001</v>
      </c>
      <c r="G39" s="32">
        <f>ROUND((F39*$G$14),2)</f>
        <v>1414.75</v>
      </c>
      <c r="H39" s="32">
        <v>2065.5500000000002</v>
      </c>
      <c r="I39" s="32">
        <f>1453.31*(18325.79/9132.77)</f>
        <v>2916.2076637099149</v>
      </c>
      <c r="J39" s="64">
        <v>534.03</v>
      </c>
      <c r="K39" s="64">
        <f>I39*K$14</f>
        <v>5604.9511296504561</v>
      </c>
      <c r="L39" s="64">
        <f t="shared" si="19"/>
        <v>5773.0996635399697</v>
      </c>
      <c r="M39" s="64">
        <f t="shared" si="19"/>
        <v>5946.2926534461685</v>
      </c>
      <c r="N39" s="64">
        <f t="shared" si="19"/>
        <v>6124.6814330495536</v>
      </c>
      <c r="O39" s="1">
        <f>18325.79/9132.77</f>
        <v>2.0065971222312617</v>
      </c>
    </row>
    <row r="40" spans="1:251" ht="25.5" x14ac:dyDescent="0.25">
      <c r="A40" s="62" t="s">
        <v>66</v>
      </c>
      <c r="B40" s="63" t="s">
        <v>67</v>
      </c>
      <c r="C40" s="59" t="s">
        <v>33</v>
      </c>
      <c r="D40" s="32">
        <f>D41+D42+D43</f>
        <v>2160.33</v>
      </c>
      <c r="E40" s="32">
        <f>E41+E42+E43</f>
        <v>2222.1999999999998</v>
      </c>
      <c r="F40" s="32">
        <f>F41+F42+F43</f>
        <v>2469.13</v>
      </c>
      <c r="G40" s="32">
        <f>G41+G42+G43</f>
        <v>2792.58</v>
      </c>
      <c r="H40" s="32">
        <v>4077.24</v>
      </c>
      <c r="I40" s="32">
        <f>(I41+I42+I43)</f>
        <v>5837.1910285707399</v>
      </c>
      <c r="J40" s="64">
        <f>J41+J42+J43</f>
        <v>1130.5899999999999</v>
      </c>
      <c r="K40" s="64">
        <f t="shared" ref="K40:N40" si="22">K41+K42+K43</f>
        <v>11219.081156912962</v>
      </c>
      <c r="L40" s="64">
        <f t="shared" si="22"/>
        <v>11555.65359162035</v>
      </c>
      <c r="M40" s="64">
        <f t="shared" si="22"/>
        <v>11902.323199368962</v>
      </c>
      <c r="N40" s="64">
        <f t="shared" si="22"/>
        <v>12259.392895350031</v>
      </c>
    </row>
    <row r="41" spans="1:251" x14ac:dyDescent="0.25">
      <c r="A41" s="62" t="s">
        <v>68</v>
      </c>
      <c r="B41" s="63" t="s">
        <v>69</v>
      </c>
      <c r="C41" s="59" t="s">
        <v>33</v>
      </c>
      <c r="D41" s="32">
        <v>1308.08</v>
      </c>
      <c r="E41" s="32">
        <v>1345.54</v>
      </c>
      <c r="F41" s="32">
        <v>1495.06</v>
      </c>
      <c r="G41" s="32">
        <f>ROUND((F41*$G$14),2)</f>
        <v>1690.91</v>
      </c>
      <c r="H41" s="32">
        <v>2468.77</v>
      </c>
      <c r="I41" s="32">
        <f>1382.24*(18325.79/9132.77)</f>
        <v>2773.5988062329393</v>
      </c>
      <c r="J41" s="64">
        <v>507.74</v>
      </c>
      <c r="K41" s="64">
        <f>I41*K$14</f>
        <v>5330.8569055797088</v>
      </c>
      <c r="L41" s="64">
        <f t="shared" si="19"/>
        <v>5490.7826127470998</v>
      </c>
      <c r="M41" s="64">
        <f t="shared" si="19"/>
        <v>5655.5060911295132</v>
      </c>
      <c r="N41" s="64">
        <f t="shared" si="19"/>
        <v>5825.1712738633987</v>
      </c>
    </row>
    <row r="42" spans="1:251" x14ac:dyDescent="0.25">
      <c r="A42" s="62" t="s">
        <v>70</v>
      </c>
      <c r="B42" s="63" t="s">
        <v>71</v>
      </c>
      <c r="C42" s="59" t="s">
        <v>33</v>
      </c>
      <c r="D42" s="32">
        <v>626.15</v>
      </c>
      <c r="E42" s="32">
        <v>644.08000000000004</v>
      </c>
      <c r="F42" s="32">
        <v>715.65</v>
      </c>
      <c r="G42" s="32">
        <f>ROUND((F42*$G$14),2)</f>
        <v>809.4</v>
      </c>
      <c r="H42" s="32">
        <v>1181.75</v>
      </c>
      <c r="I42" s="32">
        <f>894.7*(18325.79/9132.77)</f>
        <v>1795.3024452603099</v>
      </c>
      <c r="J42" s="64">
        <v>330.53</v>
      </c>
      <c r="K42" s="64">
        <f>I42*K$14</f>
        <v>3450.5712997903156</v>
      </c>
      <c r="L42" s="64">
        <f t="shared" si="19"/>
        <v>3554.0884387840251</v>
      </c>
      <c r="M42" s="64">
        <f t="shared" si="19"/>
        <v>3660.7110919475458</v>
      </c>
      <c r="N42" s="64">
        <f t="shared" si="19"/>
        <v>3770.5324247059721</v>
      </c>
    </row>
    <row r="43" spans="1:251" x14ac:dyDescent="0.25">
      <c r="A43" s="62" t="s">
        <v>72</v>
      </c>
      <c r="B43" s="63" t="s">
        <v>73</v>
      </c>
      <c r="C43" s="59" t="s">
        <v>33</v>
      </c>
      <c r="D43" s="32">
        <v>226.1</v>
      </c>
      <c r="E43" s="32">
        <v>232.58</v>
      </c>
      <c r="F43" s="32">
        <v>258.42</v>
      </c>
      <c r="G43" s="32">
        <f>ROUND((F43*$G$14),2)</f>
        <v>292.27</v>
      </c>
      <c r="H43" s="32">
        <v>426.72</v>
      </c>
      <c r="I43" s="32">
        <f>632.06*(18325.79/9132.77)</f>
        <v>1268.2897770774912</v>
      </c>
      <c r="J43" s="64">
        <v>292.32</v>
      </c>
      <c r="K43" s="64">
        <f>I43*K$14</f>
        <v>2437.6529515429379</v>
      </c>
      <c r="L43" s="64">
        <f t="shared" si="19"/>
        <v>2510.7825400892261</v>
      </c>
      <c r="M43" s="64">
        <f t="shared" si="19"/>
        <v>2586.106016291903</v>
      </c>
      <c r="N43" s="64">
        <f t="shared" si="19"/>
        <v>2663.68919678066</v>
      </c>
    </row>
    <row r="44" spans="1:251" x14ac:dyDescent="0.25">
      <c r="A44" s="62" t="s">
        <v>74</v>
      </c>
      <c r="B44" s="68" t="s">
        <v>75</v>
      </c>
      <c r="C44" s="59" t="s">
        <v>33</v>
      </c>
      <c r="D44" s="32">
        <f>D45+D46</f>
        <v>619.49</v>
      </c>
      <c r="E44" s="32">
        <f>E45+E46</f>
        <v>637.23</v>
      </c>
      <c r="F44" s="32">
        <f>F45+F46</f>
        <v>708.04</v>
      </c>
      <c r="G44" s="32">
        <f>G45+G46</f>
        <v>800.79</v>
      </c>
      <c r="H44" s="32">
        <v>1169.18</v>
      </c>
      <c r="I44" s="32">
        <f>(I45+I46)</f>
        <v>238.50413394840777</v>
      </c>
      <c r="J44" s="64">
        <f>J45+J46</f>
        <v>260.27</v>
      </c>
      <c r="K44" s="64">
        <f t="shared" ref="K44:N44" si="23">K45+K46</f>
        <v>458.40494544883973</v>
      </c>
      <c r="L44" s="64">
        <f t="shared" si="23"/>
        <v>472.15709381230494</v>
      </c>
      <c r="M44" s="64">
        <f t="shared" si="23"/>
        <v>486.32180662667412</v>
      </c>
      <c r="N44" s="64">
        <f t="shared" si="23"/>
        <v>500.91146082547436</v>
      </c>
    </row>
    <row r="45" spans="1:251" x14ac:dyDescent="0.25">
      <c r="A45" s="62" t="s">
        <v>76</v>
      </c>
      <c r="B45" s="63" t="s">
        <v>77</v>
      </c>
      <c r="C45" s="59" t="s">
        <v>33</v>
      </c>
      <c r="D45" s="32">
        <v>595.09</v>
      </c>
      <c r="E45" s="32">
        <v>612.13</v>
      </c>
      <c r="F45" s="32">
        <v>680.15</v>
      </c>
      <c r="G45" s="32">
        <f>ROUND((F45*$G$14),2)</f>
        <v>769.25</v>
      </c>
      <c r="H45" s="32">
        <v>1123.1300000000001</v>
      </c>
      <c r="I45" s="32">
        <f>0*(18325.79/9132.77)</f>
        <v>0</v>
      </c>
      <c r="J45" s="64">
        <v>216.61</v>
      </c>
      <c r="K45" s="64">
        <f>I45*K$14</f>
        <v>0</v>
      </c>
      <c r="L45" s="64">
        <f t="shared" si="19"/>
        <v>0</v>
      </c>
      <c r="M45" s="64">
        <f t="shared" si="19"/>
        <v>0</v>
      </c>
      <c r="N45" s="64">
        <f t="shared" si="19"/>
        <v>0</v>
      </c>
    </row>
    <row r="46" spans="1:251" x14ac:dyDescent="0.25">
      <c r="A46" s="62" t="s">
        <v>78</v>
      </c>
      <c r="B46" s="73" t="s">
        <v>79</v>
      </c>
      <c r="C46" s="59" t="s">
        <v>33</v>
      </c>
      <c r="D46" s="32">
        <v>24.4</v>
      </c>
      <c r="E46" s="32">
        <v>25.1</v>
      </c>
      <c r="F46" s="32">
        <v>27.89</v>
      </c>
      <c r="G46" s="32">
        <f>ROUND((F46*$G$14),2)</f>
        <v>31.54</v>
      </c>
      <c r="H46" s="32">
        <v>46.05</v>
      </c>
      <c r="I46" s="32">
        <f>118.86*(18325.79/9132.77)</f>
        <v>238.50413394840777</v>
      </c>
      <c r="J46" s="64">
        <v>43.66</v>
      </c>
      <c r="K46" s="64">
        <f>I46*K$14</f>
        <v>458.40494544883973</v>
      </c>
      <c r="L46" s="64">
        <f t="shared" si="19"/>
        <v>472.15709381230494</v>
      </c>
      <c r="M46" s="64">
        <f t="shared" si="19"/>
        <v>486.32180662667412</v>
      </c>
      <c r="N46" s="64">
        <f t="shared" si="19"/>
        <v>500.91146082547436</v>
      </c>
    </row>
    <row r="47" spans="1:251" x14ac:dyDescent="0.25">
      <c r="A47" s="62" t="s">
        <v>80</v>
      </c>
      <c r="B47" s="63" t="s">
        <v>81</v>
      </c>
      <c r="C47" s="59" t="s">
        <v>33</v>
      </c>
      <c r="D47" s="32">
        <v>73.97</v>
      </c>
      <c r="E47" s="32">
        <v>76.09</v>
      </c>
      <c r="F47" s="32">
        <v>84.55</v>
      </c>
      <c r="G47" s="32">
        <f>ROUND((F47*$G$14),2)</f>
        <v>95.63</v>
      </c>
      <c r="H47" s="32">
        <v>139.61000000000001</v>
      </c>
      <c r="I47" s="32">
        <f>341.63*(18325.79/9132.77)</f>
        <v>685.51377486786589</v>
      </c>
      <c r="J47" s="64">
        <v>125.49</v>
      </c>
      <c r="K47" s="64">
        <f>I47*K$14</f>
        <v>1317.5574752960381</v>
      </c>
      <c r="L47" s="64">
        <f t="shared" si="19"/>
        <v>1357.0841995549192</v>
      </c>
      <c r="M47" s="64">
        <f t="shared" si="19"/>
        <v>1397.7967255415667</v>
      </c>
      <c r="N47" s="64">
        <f t="shared" si="19"/>
        <v>1439.7306273078138</v>
      </c>
    </row>
    <row r="48" spans="1:251" x14ac:dyDescent="0.25">
      <c r="A48" s="62" t="s">
        <v>82</v>
      </c>
      <c r="B48" s="73" t="s">
        <v>83</v>
      </c>
      <c r="C48" s="59" t="s">
        <v>33</v>
      </c>
      <c r="D48" s="32">
        <f>D49+D50+D54</f>
        <v>2553.2599999999998</v>
      </c>
      <c r="E48" s="32">
        <f>E49+E50+E54</f>
        <v>2626.38</v>
      </c>
      <c r="F48" s="32">
        <f>F49+F50+F54</f>
        <v>2918.2200000000003</v>
      </c>
      <c r="G48" s="32">
        <f>G49+G50+G54</f>
        <v>3300.5099999999998</v>
      </c>
      <c r="H48" s="32">
        <v>4818.8300000000008</v>
      </c>
      <c r="I48" s="32">
        <f>(I49+I50+I54+I51+I52+I53)</f>
        <v>8648.3733989030716</v>
      </c>
      <c r="J48" s="64">
        <f>J49+J50+J54+J51+J52+J53</f>
        <v>6787.1900000000005</v>
      </c>
      <c r="K48" s="64">
        <f t="shared" ref="K48:N48" si="24">K49+K50+K54+K51+K52+K53</f>
        <v>16622.173672691701</v>
      </c>
      <c r="L48" s="64">
        <f t="shared" si="24"/>
        <v>17120.838882872453</v>
      </c>
      <c r="M48" s="64">
        <f t="shared" si="24"/>
        <v>17634.464049358627</v>
      </c>
      <c r="N48" s="64">
        <f t="shared" si="24"/>
        <v>18163.497970839388</v>
      </c>
    </row>
    <row r="49" spans="1:251" x14ac:dyDescent="0.25">
      <c r="A49" s="62" t="s">
        <v>84</v>
      </c>
      <c r="B49" s="63" t="s">
        <v>85</v>
      </c>
      <c r="C49" s="59" t="s">
        <v>33</v>
      </c>
      <c r="D49" s="32">
        <v>172.61</v>
      </c>
      <c r="E49" s="32">
        <v>177.55</v>
      </c>
      <c r="F49" s="32">
        <v>197.28</v>
      </c>
      <c r="G49" s="32">
        <f>ROUND((F49*$G$14),2)</f>
        <v>223.12</v>
      </c>
      <c r="H49" s="32">
        <v>325.77</v>
      </c>
      <c r="I49" s="32">
        <f>195.27*(18325.79/9132.77)</f>
        <v>391.82822005809851</v>
      </c>
      <c r="J49" s="64">
        <v>81.180000000000007</v>
      </c>
      <c r="K49" s="64">
        <f t="shared" ref="K49:K66" si="25">I49*K$14</f>
        <v>753.09383895166536</v>
      </c>
      <c r="L49" s="64">
        <f t="shared" si="19"/>
        <v>775.68665412021539</v>
      </c>
      <c r="M49" s="64">
        <f t="shared" si="19"/>
        <v>798.95725374382187</v>
      </c>
      <c r="N49" s="64">
        <f t="shared" si="19"/>
        <v>822.92597135613653</v>
      </c>
    </row>
    <row r="50" spans="1:251" ht="25.5" x14ac:dyDescent="0.25">
      <c r="A50" s="62" t="s">
        <v>86</v>
      </c>
      <c r="B50" s="63" t="s">
        <v>87</v>
      </c>
      <c r="C50" s="59" t="s">
        <v>33</v>
      </c>
      <c r="D50" s="32">
        <v>2307.6799999999998</v>
      </c>
      <c r="E50" s="32">
        <v>2373.77</v>
      </c>
      <c r="F50" s="32">
        <v>2637.54</v>
      </c>
      <c r="G50" s="32">
        <f>ROUND((F50*$G$14),2)</f>
        <v>2983.06</v>
      </c>
      <c r="H50" s="32">
        <v>4355.34</v>
      </c>
      <c r="I50" s="32">
        <f>2578.76*(18325.79/9132.77)</f>
        <v>5174.5323949250887</v>
      </c>
      <c r="J50" s="64">
        <v>1135.71</v>
      </c>
      <c r="K50" s="64">
        <f t="shared" si="25"/>
        <v>9945.4512630460194</v>
      </c>
      <c r="L50" s="64">
        <f t="shared" si="19"/>
        <v>10243.8148009374</v>
      </c>
      <c r="M50" s="64">
        <f t="shared" si="19"/>
        <v>10551.129244965523</v>
      </c>
      <c r="N50" s="64">
        <f t="shared" si="19"/>
        <v>10867.663122314489</v>
      </c>
    </row>
    <row r="51" spans="1:251" x14ac:dyDescent="0.25">
      <c r="A51" s="62" t="s">
        <v>88</v>
      </c>
      <c r="B51" s="63" t="s">
        <v>89</v>
      </c>
      <c r="C51" s="59" t="s">
        <v>33</v>
      </c>
      <c r="D51" s="32"/>
      <c r="E51" s="32"/>
      <c r="F51" s="32"/>
      <c r="G51" s="32"/>
      <c r="H51" s="32"/>
      <c r="I51" s="32">
        <f>0*(18325.79/9132.77)</f>
        <v>0</v>
      </c>
      <c r="J51" s="64">
        <v>1436.12</v>
      </c>
      <c r="K51" s="64">
        <f t="shared" si="25"/>
        <v>0</v>
      </c>
      <c r="L51" s="64">
        <f t="shared" si="19"/>
        <v>0</v>
      </c>
      <c r="M51" s="64">
        <f t="shared" si="19"/>
        <v>0</v>
      </c>
      <c r="N51" s="64">
        <f t="shared" si="19"/>
        <v>0</v>
      </c>
    </row>
    <row r="52" spans="1:251" x14ac:dyDescent="0.25">
      <c r="A52" s="62" t="s">
        <v>90</v>
      </c>
      <c r="B52" s="63" t="s">
        <v>91</v>
      </c>
      <c r="C52" s="59" t="s">
        <v>33</v>
      </c>
      <c r="D52" s="32"/>
      <c r="E52" s="32"/>
      <c r="F52" s="32"/>
      <c r="G52" s="32"/>
      <c r="H52" s="32"/>
      <c r="I52" s="32">
        <f>1108.79*(18325.79/9132.77)</f>
        <v>2224.8948231588006</v>
      </c>
      <c r="J52" s="64">
        <v>563.51</v>
      </c>
      <c r="K52" s="64">
        <f t="shared" si="25"/>
        <v>4276.2478501112146</v>
      </c>
      <c r="L52" s="64">
        <f t="shared" ref="L52:N67" si="26">K52*L$14</f>
        <v>4404.535285614551</v>
      </c>
      <c r="M52" s="64">
        <f t="shared" si="26"/>
        <v>4536.6713441829879</v>
      </c>
      <c r="N52" s="64">
        <f t="shared" si="26"/>
        <v>4672.7714845084774</v>
      </c>
    </row>
    <row r="53" spans="1:251" x14ac:dyDescent="0.25">
      <c r="A53" s="62" t="s">
        <v>92</v>
      </c>
      <c r="B53" s="63" t="s">
        <v>93</v>
      </c>
      <c r="C53" s="59" t="s">
        <v>33</v>
      </c>
      <c r="D53" s="32"/>
      <c r="E53" s="32"/>
      <c r="F53" s="32"/>
      <c r="G53" s="32"/>
      <c r="H53" s="32"/>
      <c r="I53" s="32">
        <f>0*(18325.79/9132.77)</f>
        <v>0</v>
      </c>
      <c r="J53" s="64">
        <v>3376.86</v>
      </c>
      <c r="K53" s="64">
        <f t="shared" si="25"/>
        <v>0</v>
      </c>
      <c r="L53" s="64">
        <f t="shared" si="26"/>
        <v>0</v>
      </c>
      <c r="M53" s="64">
        <f t="shared" si="26"/>
        <v>0</v>
      </c>
      <c r="N53" s="64">
        <f t="shared" si="26"/>
        <v>0</v>
      </c>
    </row>
    <row r="54" spans="1:251" x14ac:dyDescent="0.25">
      <c r="A54" s="62" t="s">
        <v>94</v>
      </c>
      <c r="B54" s="73" t="s">
        <v>95</v>
      </c>
      <c r="C54" s="59" t="s">
        <v>33</v>
      </c>
      <c r="D54" s="32">
        <v>72.97</v>
      </c>
      <c r="E54" s="32">
        <v>75.06</v>
      </c>
      <c r="F54" s="32">
        <v>83.4</v>
      </c>
      <c r="G54" s="32">
        <f>ROUND((F54*$G$14),2)</f>
        <v>94.33</v>
      </c>
      <c r="H54" s="32">
        <v>137.72</v>
      </c>
      <c r="I54" s="32">
        <f>427.15*(18325.79/9132.77)</f>
        <v>857.1179607610834</v>
      </c>
      <c r="J54" s="64">
        <v>193.81</v>
      </c>
      <c r="K54" s="64">
        <f t="shared" si="25"/>
        <v>1647.3807205828023</v>
      </c>
      <c r="L54" s="64">
        <f t="shared" si="26"/>
        <v>1696.8021422002864</v>
      </c>
      <c r="M54" s="64">
        <f t="shared" si="26"/>
        <v>1747.706206466295</v>
      </c>
      <c r="N54" s="64">
        <f t="shared" si="26"/>
        <v>1800.1373926602839</v>
      </c>
    </row>
    <row r="55" spans="1:251" x14ac:dyDescent="0.25">
      <c r="A55" s="57" t="s">
        <v>96</v>
      </c>
      <c r="B55" s="58" t="s">
        <v>97</v>
      </c>
      <c r="C55" s="70" t="s">
        <v>33</v>
      </c>
      <c r="D55" s="60">
        <v>44.87</v>
      </c>
      <c r="E55" s="60">
        <v>46.16</v>
      </c>
      <c r="F55" s="60">
        <v>51.29</v>
      </c>
      <c r="G55" s="60">
        <f>ROUND((F55*$G$14),2)</f>
        <v>58.01</v>
      </c>
      <c r="H55" s="60">
        <v>84.68</v>
      </c>
      <c r="I55" s="60"/>
      <c r="J55" s="61"/>
      <c r="K55" s="64">
        <f t="shared" si="25"/>
        <v>0</v>
      </c>
      <c r="L55" s="61">
        <f t="shared" si="26"/>
        <v>0</v>
      </c>
      <c r="M55" s="61">
        <f t="shared" si="26"/>
        <v>0</v>
      </c>
      <c r="N55" s="74">
        <f t="shared" si="26"/>
        <v>0</v>
      </c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</row>
    <row r="56" spans="1:251" x14ac:dyDescent="0.25">
      <c r="A56" s="57" t="s">
        <v>98</v>
      </c>
      <c r="B56" s="58" t="s">
        <v>99</v>
      </c>
      <c r="C56" s="70" t="s">
        <v>33</v>
      </c>
      <c r="D56" s="60">
        <v>529.78</v>
      </c>
      <c r="E56" s="60">
        <v>544.95000000000005</v>
      </c>
      <c r="F56" s="60">
        <v>605.5</v>
      </c>
      <c r="G56" s="60">
        <f>ROUND((F56*$G$14),2)</f>
        <v>684.82</v>
      </c>
      <c r="H56" s="60">
        <v>999.87</v>
      </c>
      <c r="I56" s="60">
        <v>355.64</v>
      </c>
      <c r="J56" s="61">
        <v>462.56</v>
      </c>
      <c r="K56" s="61">
        <f t="shared" si="25"/>
        <v>683.54007999999999</v>
      </c>
      <c r="L56" s="61">
        <f t="shared" si="26"/>
        <v>704.0462824</v>
      </c>
      <c r="M56" s="61">
        <f t="shared" si="26"/>
        <v>725.16767087200003</v>
      </c>
      <c r="N56" s="74">
        <f t="shared" si="26"/>
        <v>746.92270099816005</v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</row>
    <row r="57" spans="1:251" ht="25.5" x14ac:dyDescent="0.25">
      <c r="A57" s="57" t="s">
        <v>100</v>
      </c>
      <c r="B57" s="58" t="s">
        <v>101</v>
      </c>
      <c r="C57" s="70" t="s">
        <v>33</v>
      </c>
      <c r="D57" s="60">
        <f>SUM(D58:D63)</f>
        <v>1183.0900000000001</v>
      </c>
      <c r="E57" s="60">
        <f>SUM(E58:E63)</f>
        <v>1216.97</v>
      </c>
      <c r="F57" s="60">
        <f>SUM(F58:F63)</f>
        <v>1352.2</v>
      </c>
      <c r="G57" s="60">
        <f>SUM(G58:G63)</f>
        <v>1529.33</v>
      </c>
      <c r="H57" s="60">
        <v>2232.8700000000003</v>
      </c>
      <c r="I57" s="60">
        <v>8289.7800000000007</v>
      </c>
      <c r="J57" s="61">
        <v>4418.21</v>
      </c>
      <c r="K57" s="61">
        <f t="shared" si="25"/>
        <v>15932.95716</v>
      </c>
      <c r="L57" s="61">
        <f t="shared" si="26"/>
        <v>16410.9458748</v>
      </c>
      <c r="M57" s="61">
        <f t="shared" si="26"/>
        <v>16903.274251044</v>
      </c>
      <c r="N57" s="74">
        <f t="shared" si="26"/>
        <v>17410.372478575322</v>
      </c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  <c r="IA57" s="71"/>
      <c r="IB57" s="71"/>
      <c r="IC57" s="71"/>
      <c r="ID57" s="71"/>
      <c r="IE57" s="71"/>
      <c r="IF57" s="71"/>
      <c r="IG57" s="71"/>
      <c r="IH57" s="71"/>
      <c r="II57" s="71"/>
      <c r="IJ57" s="71"/>
      <c r="IK57" s="71"/>
      <c r="IL57" s="71"/>
      <c r="IM57" s="71"/>
      <c r="IN57" s="71"/>
      <c r="IO57" s="71"/>
      <c r="IP57" s="71"/>
      <c r="IQ57" s="71"/>
    </row>
    <row r="58" spans="1:251" x14ac:dyDescent="0.25">
      <c r="A58" s="62" t="s">
        <v>102</v>
      </c>
      <c r="B58" s="63" t="s">
        <v>103</v>
      </c>
      <c r="C58" s="59" t="s">
        <v>33</v>
      </c>
      <c r="D58" s="32">
        <v>127.45</v>
      </c>
      <c r="E58" s="32">
        <v>131.1</v>
      </c>
      <c r="F58" s="32">
        <v>145.66999999999999</v>
      </c>
      <c r="G58" s="32">
        <f t="shared" ref="G58:G65" si="27">ROUND((F58*$G$14),2)</f>
        <v>164.75</v>
      </c>
      <c r="H58" s="32">
        <v>240.54</v>
      </c>
      <c r="I58" s="32"/>
      <c r="J58" s="64"/>
      <c r="K58" s="64">
        <f t="shared" si="25"/>
        <v>0</v>
      </c>
      <c r="L58" s="64">
        <f t="shared" si="26"/>
        <v>0</v>
      </c>
      <c r="M58" s="64">
        <f t="shared" si="26"/>
        <v>0</v>
      </c>
      <c r="N58" s="64">
        <f t="shared" si="26"/>
        <v>0</v>
      </c>
    </row>
    <row r="59" spans="1:251" x14ac:dyDescent="0.25">
      <c r="A59" s="62" t="s">
        <v>104</v>
      </c>
      <c r="B59" s="63" t="s">
        <v>105</v>
      </c>
      <c r="C59" s="59" t="s">
        <v>33</v>
      </c>
      <c r="D59" s="32">
        <v>262.04000000000002</v>
      </c>
      <c r="E59" s="32">
        <v>269.55</v>
      </c>
      <c r="F59" s="32">
        <v>299.5</v>
      </c>
      <c r="G59" s="32">
        <f t="shared" si="27"/>
        <v>338.73</v>
      </c>
      <c r="H59" s="32">
        <v>494.55</v>
      </c>
      <c r="I59" s="32"/>
      <c r="J59" s="64"/>
      <c r="K59" s="64">
        <f t="shared" si="25"/>
        <v>0</v>
      </c>
      <c r="L59" s="64">
        <f t="shared" si="26"/>
        <v>0</v>
      </c>
      <c r="M59" s="64">
        <f t="shared" si="26"/>
        <v>0</v>
      </c>
      <c r="N59" s="64">
        <f t="shared" si="26"/>
        <v>0</v>
      </c>
    </row>
    <row r="60" spans="1:251" x14ac:dyDescent="0.25">
      <c r="A60" s="62" t="s">
        <v>106</v>
      </c>
      <c r="B60" s="63" t="s">
        <v>107</v>
      </c>
      <c r="C60" s="59" t="s">
        <v>33</v>
      </c>
      <c r="D60" s="32">
        <v>426.14</v>
      </c>
      <c r="E60" s="32">
        <v>438.34</v>
      </c>
      <c r="F60" s="32">
        <v>487.05</v>
      </c>
      <c r="G60" s="32">
        <f t="shared" si="27"/>
        <v>550.85</v>
      </c>
      <c r="H60" s="32">
        <v>804.27</v>
      </c>
      <c r="I60" s="32"/>
      <c r="J60" s="64"/>
      <c r="K60" s="64">
        <f t="shared" si="25"/>
        <v>0</v>
      </c>
      <c r="L60" s="64">
        <f t="shared" si="26"/>
        <v>0</v>
      </c>
      <c r="M60" s="64">
        <f t="shared" si="26"/>
        <v>0</v>
      </c>
      <c r="N60" s="64">
        <f t="shared" si="26"/>
        <v>0</v>
      </c>
    </row>
    <row r="61" spans="1:251" ht="25.5" x14ac:dyDescent="0.25">
      <c r="A61" s="62" t="s">
        <v>108</v>
      </c>
      <c r="B61" s="63" t="s">
        <v>109</v>
      </c>
      <c r="C61" s="59" t="s">
        <v>33</v>
      </c>
      <c r="D61" s="32">
        <v>50.73</v>
      </c>
      <c r="E61" s="32">
        <v>52.18</v>
      </c>
      <c r="F61" s="32">
        <v>57.98</v>
      </c>
      <c r="G61" s="32">
        <f t="shared" si="27"/>
        <v>65.58</v>
      </c>
      <c r="H61" s="32">
        <v>95.74</v>
      </c>
      <c r="I61" s="32"/>
      <c r="J61" s="64"/>
      <c r="K61" s="64">
        <f t="shared" si="25"/>
        <v>0</v>
      </c>
      <c r="L61" s="64">
        <f t="shared" si="26"/>
        <v>0</v>
      </c>
      <c r="M61" s="64">
        <f t="shared" si="26"/>
        <v>0</v>
      </c>
      <c r="N61" s="64">
        <f t="shared" si="26"/>
        <v>0</v>
      </c>
    </row>
    <row r="62" spans="1:251" ht="25.5" x14ac:dyDescent="0.25">
      <c r="A62" s="62" t="s">
        <v>110</v>
      </c>
      <c r="B62" s="63" t="s">
        <v>111</v>
      </c>
      <c r="C62" s="59" t="s">
        <v>33</v>
      </c>
      <c r="D62" s="32">
        <v>44.47</v>
      </c>
      <c r="E62" s="32">
        <v>45.74</v>
      </c>
      <c r="F62" s="32">
        <v>50.82</v>
      </c>
      <c r="G62" s="32">
        <f t="shared" si="27"/>
        <v>57.48</v>
      </c>
      <c r="H62" s="32">
        <v>83.93</v>
      </c>
      <c r="I62" s="32"/>
      <c r="J62" s="64"/>
      <c r="K62" s="64">
        <f t="shared" si="25"/>
        <v>0</v>
      </c>
      <c r="L62" s="64">
        <f t="shared" si="26"/>
        <v>0</v>
      </c>
      <c r="M62" s="64">
        <f t="shared" si="26"/>
        <v>0</v>
      </c>
      <c r="N62" s="64">
        <f t="shared" si="26"/>
        <v>0</v>
      </c>
    </row>
    <row r="63" spans="1:251" x14ac:dyDescent="0.25">
      <c r="A63" s="62" t="s">
        <v>112</v>
      </c>
      <c r="B63" s="63" t="s">
        <v>95</v>
      </c>
      <c r="C63" s="59" t="s">
        <v>33</v>
      </c>
      <c r="D63" s="32">
        <v>272.26</v>
      </c>
      <c r="E63" s="32">
        <v>280.06</v>
      </c>
      <c r="F63" s="32">
        <v>311.18</v>
      </c>
      <c r="G63" s="32">
        <f t="shared" si="27"/>
        <v>351.94</v>
      </c>
      <c r="H63" s="32">
        <v>513.84</v>
      </c>
      <c r="I63" s="32"/>
      <c r="J63" s="64"/>
      <c r="K63" s="64">
        <f t="shared" si="25"/>
        <v>0</v>
      </c>
      <c r="L63" s="64">
        <f t="shared" si="26"/>
        <v>0</v>
      </c>
      <c r="M63" s="64">
        <f t="shared" si="26"/>
        <v>0</v>
      </c>
      <c r="N63" s="64">
        <f t="shared" si="26"/>
        <v>0</v>
      </c>
    </row>
    <row r="64" spans="1:251" x14ac:dyDescent="0.25">
      <c r="A64" s="57" t="s">
        <v>113</v>
      </c>
      <c r="B64" s="58" t="s">
        <v>114</v>
      </c>
      <c r="C64" s="70" t="s">
        <v>33</v>
      </c>
      <c r="D64" s="60">
        <v>60.42</v>
      </c>
      <c r="E64" s="60">
        <v>62.15</v>
      </c>
      <c r="F64" s="60">
        <v>69.06</v>
      </c>
      <c r="G64" s="60">
        <f t="shared" si="27"/>
        <v>78.11</v>
      </c>
      <c r="H64" s="60">
        <v>114.03</v>
      </c>
      <c r="I64" s="60">
        <v>67.55</v>
      </c>
      <c r="J64" s="61">
        <v>35.130000000000003</v>
      </c>
      <c r="K64" s="61">
        <f t="shared" si="25"/>
        <v>129.83109999999999</v>
      </c>
      <c r="L64" s="61">
        <f t="shared" si="26"/>
        <v>133.726033</v>
      </c>
      <c r="M64" s="61">
        <f t="shared" si="26"/>
        <v>137.73781399000001</v>
      </c>
      <c r="N64" s="74">
        <f t="shared" si="26"/>
        <v>141.86994840970002</v>
      </c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</row>
    <row r="65" spans="1:251" x14ac:dyDescent="0.25">
      <c r="A65" s="57" t="s">
        <v>115</v>
      </c>
      <c r="B65" s="66" t="s">
        <v>116</v>
      </c>
      <c r="C65" s="70" t="s">
        <v>33</v>
      </c>
      <c r="D65" s="60">
        <v>330.02</v>
      </c>
      <c r="E65" s="60">
        <v>339.47</v>
      </c>
      <c r="F65" s="60">
        <v>377.19</v>
      </c>
      <c r="G65" s="60">
        <f t="shared" si="27"/>
        <v>426.6</v>
      </c>
      <c r="H65" s="60">
        <v>622.86</v>
      </c>
      <c r="I65" s="60">
        <v>592.35</v>
      </c>
      <c r="J65" s="61">
        <v>223.22</v>
      </c>
      <c r="K65" s="61">
        <f t="shared" si="25"/>
        <v>1138.4966999999999</v>
      </c>
      <c r="L65" s="61">
        <f t="shared" si="26"/>
        <v>1172.651601</v>
      </c>
      <c r="M65" s="61">
        <f t="shared" si="26"/>
        <v>1207.83114903</v>
      </c>
      <c r="N65" s="74">
        <f t="shared" si="26"/>
        <v>1244.0660835009</v>
      </c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</row>
    <row r="66" spans="1:251" x14ac:dyDescent="0.25">
      <c r="A66" s="57" t="s">
        <v>117</v>
      </c>
      <c r="B66" s="58" t="s">
        <v>118</v>
      </c>
      <c r="C66" s="70" t="s">
        <v>33</v>
      </c>
      <c r="D66" s="60">
        <f>D67+D68</f>
        <v>139.32</v>
      </c>
      <c r="E66" s="60">
        <f>E67+E68</f>
        <v>143.31</v>
      </c>
      <c r="F66" s="60">
        <f>F67+F68</f>
        <v>159.24</v>
      </c>
      <c r="G66" s="60">
        <f>G67+G68</f>
        <v>180.1</v>
      </c>
      <c r="H66" s="60">
        <f>H67+H68</f>
        <v>262.94</v>
      </c>
      <c r="I66" s="60">
        <v>87.31</v>
      </c>
      <c r="J66" s="61">
        <v>240.82</v>
      </c>
      <c r="K66" s="61">
        <f t="shared" si="25"/>
        <v>167.80982</v>
      </c>
      <c r="L66" s="61">
        <f t="shared" ref="L66:N66" si="28">L67+L68</f>
        <v>172.84411460000001</v>
      </c>
      <c r="M66" s="61">
        <f t="shared" si="28"/>
        <v>178.02943803800002</v>
      </c>
      <c r="N66" s="61">
        <f t="shared" si="28"/>
        <v>183.37032117914003</v>
      </c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</row>
    <row r="67" spans="1:251" x14ac:dyDescent="0.25">
      <c r="A67" s="62" t="s">
        <v>119</v>
      </c>
      <c r="B67" s="63" t="s">
        <v>120</v>
      </c>
      <c r="C67" s="59" t="s">
        <v>33</v>
      </c>
      <c r="D67" s="32">
        <v>103.81</v>
      </c>
      <c r="E67" s="32">
        <v>106.78</v>
      </c>
      <c r="F67" s="32">
        <v>118.65</v>
      </c>
      <c r="G67" s="32">
        <f>ROUND((F67*$G$14),2)</f>
        <v>134.19</v>
      </c>
      <c r="H67" s="32">
        <v>195.92</v>
      </c>
      <c r="I67" s="32">
        <v>87.31</v>
      </c>
      <c r="J67" s="64">
        <v>32.07</v>
      </c>
      <c r="K67" s="64">
        <f>I67*K$14</f>
        <v>167.80982</v>
      </c>
      <c r="L67" s="64">
        <f t="shared" si="26"/>
        <v>172.84411460000001</v>
      </c>
      <c r="M67" s="64">
        <f t="shared" si="26"/>
        <v>178.02943803800002</v>
      </c>
      <c r="N67" s="75">
        <f t="shared" si="26"/>
        <v>183.37032117914003</v>
      </c>
    </row>
    <row r="68" spans="1:251" x14ac:dyDescent="0.25">
      <c r="A68" s="62" t="s">
        <v>121</v>
      </c>
      <c r="B68" s="63" t="s">
        <v>122</v>
      </c>
      <c r="C68" s="59" t="s">
        <v>33</v>
      </c>
      <c r="D68" s="32">
        <v>35.51</v>
      </c>
      <c r="E68" s="32">
        <v>36.53</v>
      </c>
      <c r="F68" s="32">
        <v>40.590000000000003</v>
      </c>
      <c r="G68" s="32">
        <f>ROUND((F68*$G$14),2)</f>
        <v>45.91</v>
      </c>
      <c r="H68" s="32">
        <v>67.02</v>
      </c>
      <c r="I68" s="32"/>
      <c r="J68" s="64">
        <v>208.75</v>
      </c>
      <c r="K68" s="64">
        <f>I68*K$14</f>
        <v>0</v>
      </c>
      <c r="L68" s="64">
        <f t="shared" ref="L68:N71" si="29">K68*L$14</f>
        <v>0</v>
      </c>
      <c r="M68" s="64">
        <f t="shared" si="29"/>
        <v>0</v>
      </c>
      <c r="N68" s="75">
        <f t="shared" si="29"/>
        <v>0</v>
      </c>
    </row>
    <row r="69" spans="1:251" x14ac:dyDescent="0.25">
      <c r="A69" s="57" t="s">
        <v>123</v>
      </c>
      <c r="B69" s="58" t="s">
        <v>124</v>
      </c>
      <c r="C69" s="70" t="s">
        <v>33</v>
      </c>
      <c r="D69" s="60">
        <f>D70</f>
        <v>0</v>
      </c>
      <c r="E69" s="60">
        <f>E70</f>
        <v>0</v>
      </c>
      <c r="F69" s="60">
        <v>0</v>
      </c>
      <c r="G69" s="60">
        <f>G70</f>
        <v>0</v>
      </c>
      <c r="H69" s="60">
        <f>H70</f>
        <v>0</v>
      </c>
      <c r="I69" s="60"/>
      <c r="J69" s="61">
        <f t="shared" ref="J69:N69" si="30">J70</f>
        <v>0</v>
      </c>
      <c r="K69" s="61">
        <f t="shared" si="30"/>
        <v>0</v>
      </c>
      <c r="L69" s="61">
        <f t="shared" si="30"/>
        <v>0</v>
      </c>
      <c r="M69" s="61">
        <f t="shared" si="30"/>
        <v>0</v>
      </c>
      <c r="N69" s="61">
        <f t="shared" si="30"/>
        <v>0</v>
      </c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</row>
    <row r="70" spans="1:251" x14ac:dyDescent="0.25">
      <c r="A70" s="62" t="s">
        <v>125</v>
      </c>
      <c r="B70" s="63" t="s">
        <v>126</v>
      </c>
      <c r="C70" s="59" t="s">
        <v>33</v>
      </c>
      <c r="D70" s="32">
        <v>0</v>
      </c>
      <c r="E70" s="32">
        <v>0</v>
      </c>
      <c r="F70" s="32">
        <v>0</v>
      </c>
      <c r="G70" s="32">
        <f>ROUND((F70*$G$14),2)</f>
        <v>0</v>
      </c>
      <c r="H70" s="32">
        <v>0</v>
      </c>
      <c r="I70" s="32"/>
      <c r="J70" s="64"/>
      <c r="K70" s="64"/>
      <c r="L70" s="64"/>
      <c r="M70" s="64"/>
      <c r="N70" s="75"/>
    </row>
    <row r="71" spans="1:251" x14ac:dyDescent="0.25">
      <c r="A71" s="76"/>
      <c r="B71" s="58" t="s">
        <v>127</v>
      </c>
      <c r="C71" s="59" t="s">
        <v>33</v>
      </c>
      <c r="D71" s="77">
        <f t="shared" ref="D71:J71" si="31">D21+D24+D34</f>
        <v>83510.03</v>
      </c>
      <c r="E71" s="77">
        <f t="shared" si="31"/>
        <v>85901.79</v>
      </c>
      <c r="F71" s="77">
        <f t="shared" si="31"/>
        <v>95447.21</v>
      </c>
      <c r="G71" s="77">
        <f t="shared" si="31"/>
        <v>107950.78</v>
      </c>
      <c r="H71" s="77">
        <f t="shared" si="31"/>
        <v>176680.40000000002</v>
      </c>
      <c r="I71" s="77">
        <f t="shared" si="31"/>
        <v>293240.41772000003</v>
      </c>
      <c r="J71" s="77">
        <f t="shared" si="31"/>
        <v>131427.46</v>
      </c>
      <c r="K71" s="77">
        <f>K21+K24+K34</f>
        <v>563608.08285784</v>
      </c>
      <c r="L71" s="77">
        <f t="shared" ref="L71:N71" si="32">L21+L24+L34</f>
        <v>580516.3253435751</v>
      </c>
      <c r="M71" s="77">
        <f t="shared" si="32"/>
        <v>597931.81510388246</v>
      </c>
      <c r="N71" s="77">
        <f t="shared" si="32"/>
        <v>615869.76955699886</v>
      </c>
      <c r="P71" s="4">
        <f>K71-K24-K35-K66</f>
        <v>53587.72406</v>
      </c>
      <c r="R71" s="1">
        <f>J71*K14</f>
        <v>252603.57811999996</v>
      </c>
    </row>
    <row r="72" spans="1:251" ht="15.75" x14ac:dyDescent="0.25">
      <c r="A72" s="78" t="s">
        <v>128</v>
      </c>
      <c r="B72" s="52" t="s">
        <v>129</v>
      </c>
      <c r="C72" s="53"/>
      <c r="D72" s="79"/>
      <c r="E72" s="80"/>
      <c r="F72" s="79"/>
      <c r="G72" s="79"/>
      <c r="H72" s="79"/>
      <c r="I72" s="79"/>
      <c r="J72" s="79"/>
      <c r="K72" s="79"/>
      <c r="L72" s="79"/>
      <c r="M72" s="79"/>
      <c r="N72" s="81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</row>
    <row r="73" spans="1:251" x14ac:dyDescent="0.25">
      <c r="A73" s="57" t="s">
        <v>130</v>
      </c>
      <c r="B73" s="58" t="s">
        <v>131</v>
      </c>
      <c r="C73" s="59" t="s">
        <v>33</v>
      </c>
      <c r="D73" s="60">
        <f>D74+D75</f>
        <v>48.9</v>
      </c>
      <c r="E73" s="60">
        <f>E74+E75</f>
        <v>0.53</v>
      </c>
      <c r="F73" s="60">
        <f>F74+F75</f>
        <v>3585.13</v>
      </c>
      <c r="G73" s="60">
        <f>G74+G75</f>
        <v>4735.8899999999994</v>
      </c>
      <c r="H73" s="60">
        <f>H74+H75</f>
        <v>7434.37</v>
      </c>
      <c r="I73" s="60">
        <f t="shared" ref="I73:N73" si="33">I74+I75</f>
        <v>12460.03</v>
      </c>
      <c r="J73" s="60">
        <f t="shared" si="33"/>
        <v>12460.03</v>
      </c>
      <c r="K73" s="60">
        <f t="shared" si="33"/>
        <v>74288.005349756379</v>
      </c>
      <c r="L73" s="60">
        <f t="shared" si="33"/>
        <v>74288.005349756379</v>
      </c>
      <c r="M73" s="60">
        <f t="shared" si="33"/>
        <v>74288.005349756379</v>
      </c>
      <c r="N73" s="60">
        <f t="shared" si="33"/>
        <v>74288.005349756379</v>
      </c>
    </row>
    <row r="74" spans="1:251" x14ac:dyDescent="0.25">
      <c r="A74" s="62" t="s">
        <v>132</v>
      </c>
      <c r="B74" s="63" t="s">
        <v>133</v>
      </c>
      <c r="C74" s="59" t="s">
        <v>33</v>
      </c>
      <c r="D74" s="32">
        <v>48.23</v>
      </c>
      <c r="E74" s="32">
        <v>0.53</v>
      </c>
      <c r="F74" s="32">
        <v>3585.13</v>
      </c>
      <c r="G74" s="32">
        <f>[2]Аренда!M9+[2]Аренда!M8</f>
        <v>4735.3599999999997</v>
      </c>
      <c r="H74" s="32">
        <v>7434.37</v>
      </c>
      <c r="I74" s="32">
        <f>9127.03+3333</f>
        <v>12460.03</v>
      </c>
      <c r="J74" s="32">
        <f>9127.03+3333</f>
        <v>12460.03</v>
      </c>
      <c r="K74" s="32">
        <f>[1]неподконтр!H10/1000</f>
        <v>74288.005349756379</v>
      </c>
      <c r="L74" s="32">
        <f t="shared" ref="L74:N75" si="34">K74</f>
        <v>74288.005349756379</v>
      </c>
      <c r="M74" s="32">
        <f t="shared" si="34"/>
        <v>74288.005349756379</v>
      </c>
      <c r="N74" s="32">
        <f t="shared" si="34"/>
        <v>74288.005349756379</v>
      </c>
    </row>
    <row r="75" spans="1:251" x14ac:dyDescent="0.25">
      <c r="A75" s="62" t="s">
        <v>134</v>
      </c>
      <c r="B75" s="63" t="s">
        <v>135</v>
      </c>
      <c r="C75" s="59" t="s">
        <v>33</v>
      </c>
      <c r="D75" s="32">
        <v>0.67</v>
      </c>
      <c r="E75" s="32">
        <v>0</v>
      </c>
      <c r="F75" s="32">
        <v>0</v>
      </c>
      <c r="G75" s="32">
        <f>[2]Аренда!M10</f>
        <v>0.53</v>
      </c>
      <c r="H75" s="32">
        <v>0</v>
      </c>
      <c r="I75" s="32"/>
      <c r="J75" s="32"/>
      <c r="K75" s="32">
        <f>J75</f>
        <v>0</v>
      </c>
      <c r="L75" s="32">
        <f t="shared" si="34"/>
        <v>0</v>
      </c>
      <c r="M75" s="32">
        <f t="shared" si="34"/>
        <v>0</v>
      </c>
      <c r="N75" s="32">
        <f t="shared" si="34"/>
        <v>0</v>
      </c>
    </row>
    <row r="76" spans="1:251" x14ac:dyDescent="0.25">
      <c r="A76" s="57" t="s">
        <v>136</v>
      </c>
      <c r="B76" s="58" t="s">
        <v>137</v>
      </c>
      <c r="C76" s="59" t="s">
        <v>33</v>
      </c>
      <c r="D76" s="60">
        <f>D77+D78</f>
        <v>18008.45</v>
      </c>
      <c r="E76" s="60">
        <f>E77+E78</f>
        <v>16480.830000000002</v>
      </c>
      <c r="F76" s="60">
        <f>F77+F78</f>
        <v>18132.310000000001</v>
      </c>
      <c r="G76" s="60">
        <f>G77+G78</f>
        <v>21392.32</v>
      </c>
      <c r="H76" s="60">
        <f>H77+H78</f>
        <v>30763.38</v>
      </c>
      <c r="I76" s="60">
        <v>39807.72</v>
      </c>
      <c r="J76" s="60">
        <v>35471</v>
      </c>
      <c r="K76" s="60">
        <f t="shared" ref="K76:N76" si="35">K77+K78</f>
        <v>48547.52004012285</v>
      </c>
      <c r="L76" s="60">
        <f t="shared" si="35"/>
        <v>48547.52004012285</v>
      </c>
      <c r="M76" s="60">
        <f t="shared" si="35"/>
        <v>48547.52004012285</v>
      </c>
      <c r="N76" s="60">
        <f t="shared" si="35"/>
        <v>48547.52004012285</v>
      </c>
    </row>
    <row r="77" spans="1:251" x14ac:dyDescent="0.25">
      <c r="A77" s="62" t="s">
        <v>138</v>
      </c>
      <c r="B77" s="63" t="s">
        <v>139</v>
      </c>
      <c r="C77" s="59" t="s">
        <v>33</v>
      </c>
      <c r="D77" s="32">
        <f>16762.66</f>
        <v>16762.66</v>
      </c>
      <c r="E77" s="32">
        <v>15091.41</v>
      </c>
      <c r="F77" s="32">
        <v>16367.66</v>
      </c>
      <c r="G77" s="32">
        <v>18994.39</v>
      </c>
      <c r="H77" s="32">
        <v>28392.13</v>
      </c>
      <c r="I77" s="32"/>
      <c r="J77" s="32"/>
      <c r="K77" s="32">
        <f>[1]неподконтр!C8/1000</f>
        <v>45433.724491316243</v>
      </c>
      <c r="L77" s="32">
        <f t="shared" ref="L77:N78" si="36">K77</f>
        <v>45433.724491316243</v>
      </c>
      <c r="M77" s="32">
        <f t="shared" si="36"/>
        <v>45433.724491316243</v>
      </c>
      <c r="N77" s="32">
        <f t="shared" si="36"/>
        <v>45433.724491316243</v>
      </c>
    </row>
    <row r="78" spans="1:251" x14ac:dyDescent="0.25">
      <c r="A78" s="62" t="s">
        <v>140</v>
      </c>
      <c r="B78" s="63" t="s">
        <v>141</v>
      </c>
      <c r="C78" s="59" t="s">
        <v>33</v>
      </c>
      <c r="D78" s="32">
        <v>1245.79</v>
      </c>
      <c r="E78" s="32">
        <v>1389.42</v>
      </c>
      <c r="F78" s="32">
        <v>1764.65</v>
      </c>
      <c r="G78" s="32">
        <v>2397.9299999999998</v>
      </c>
      <c r="H78" s="32">
        <v>2371.25</v>
      </c>
      <c r="I78" s="32"/>
      <c r="J78" s="32"/>
      <c r="K78" s="32">
        <f>[1]неподконтр!F8/1000</f>
        <v>3113.7955488066059</v>
      </c>
      <c r="L78" s="32">
        <f t="shared" si="36"/>
        <v>3113.7955488066059</v>
      </c>
      <c r="M78" s="32">
        <f t="shared" si="36"/>
        <v>3113.7955488066059</v>
      </c>
      <c r="N78" s="32">
        <f t="shared" si="36"/>
        <v>3113.7955488066059</v>
      </c>
    </row>
    <row r="79" spans="1:251" x14ac:dyDescent="0.25">
      <c r="A79" s="57" t="s">
        <v>142</v>
      </c>
      <c r="B79" s="58" t="s">
        <v>143</v>
      </c>
      <c r="C79" s="59" t="s">
        <v>33</v>
      </c>
      <c r="D79" s="60">
        <f>D80+D81+D82+D83</f>
        <v>2072.2199999999998</v>
      </c>
      <c r="E79" s="60">
        <f>E80+E81+E82+E83</f>
        <v>2269.7200000000003</v>
      </c>
      <c r="F79" s="60">
        <f>F80+F81+F82+F83</f>
        <v>2692.5</v>
      </c>
      <c r="G79" s="60">
        <f>G80+G81+G82+G83</f>
        <v>2893.15</v>
      </c>
      <c r="H79" s="60">
        <f>H80+H81+H82+H83</f>
        <v>4114.92677</v>
      </c>
      <c r="I79" s="60">
        <f t="shared" ref="I79:N79" si="37">I80+I81+I82+I83</f>
        <v>6886.8700000000008</v>
      </c>
      <c r="J79" s="60">
        <f t="shared" si="37"/>
        <v>1999.8638626441741</v>
      </c>
      <c r="K79" s="60">
        <f t="shared" si="37"/>
        <v>2199.1794398712786</v>
      </c>
      <c r="L79" s="60">
        <f t="shared" si="37"/>
        <v>2199.1794398712786</v>
      </c>
      <c r="M79" s="60">
        <f t="shared" si="37"/>
        <v>2199.1794398712786</v>
      </c>
      <c r="N79" s="60">
        <f t="shared" si="37"/>
        <v>2199.1794398712786</v>
      </c>
    </row>
    <row r="80" spans="1:251" x14ac:dyDescent="0.25">
      <c r="A80" s="62" t="s">
        <v>144</v>
      </c>
      <c r="B80" s="63" t="s">
        <v>145</v>
      </c>
      <c r="C80" s="59" t="s">
        <v>33</v>
      </c>
      <c r="D80" s="32">
        <v>0</v>
      </c>
      <c r="E80" s="32">
        <v>0</v>
      </c>
      <c r="F80" s="32">
        <v>0</v>
      </c>
      <c r="G80" s="32"/>
      <c r="H80" s="32"/>
      <c r="I80" s="32"/>
      <c r="J80" s="32"/>
      <c r="K80" s="32"/>
      <c r="L80" s="32"/>
      <c r="M80" s="32"/>
      <c r="N80" s="82"/>
    </row>
    <row r="81" spans="1:251" x14ac:dyDescent="0.25">
      <c r="A81" s="62" t="s">
        <v>144</v>
      </c>
      <c r="B81" s="63" t="s">
        <v>146</v>
      </c>
      <c r="C81" s="59" t="s">
        <v>33</v>
      </c>
      <c r="D81" s="32">
        <v>298.02999999999997</v>
      </c>
      <c r="E81" s="32">
        <v>297.81</v>
      </c>
      <c r="F81" s="32">
        <v>303.25</v>
      </c>
      <c r="G81" s="32">
        <f>'[2]Юр.,зем.нал'!L42</f>
        <v>526</v>
      </c>
      <c r="H81" s="32">
        <v>532.4</v>
      </c>
      <c r="I81" s="32">
        <v>566.67999999999995</v>
      </c>
      <c r="J81" s="32">
        <f>[1]неподконтр!H12/1000</f>
        <v>555.46386264417424</v>
      </c>
      <c r="K81" s="32">
        <f>[1]неподконтр!H12/1000</f>
        <v>555.46386264417424</v>
      </c>
      <c r="L81" s="32">
        <f t="shared" ref="L81:N83" si="38">K81</f>
        <v>555.46386264417424</v>
      </c>
      <c r="M81" s="32">
        <f t="shared" si="38"/>
        <v>555.46386264417424</v>
      </c>
      <c r="N81" s="32">
        <f t="shared" si="38"/>
        <v>555.46386264417424</v>
      </c>
    </row>
    <row r="82" spans="1:251" x14ac:dyDescent="0.25">
      <c r="A82" s="62" t="s">
        <v>147</v>
      </c>
      <c r="B82" s="63" t="s">
        <v>148</v>
      </c>
      <c r="C82" s="59" t="s">
        <v>33</v>
      </c>
      <c r="D82" s="32">
        <v>1745.57</v>
      </c>
      <c r="E82" s="32">
        <v>1943.34</v>
      </c>
      <c r="F82" s="32">
        <v>2366.0100000000002</v>
      </c>
      <c r="G82" s="32">
        <v>2343.94</v>
      </c>
      <c r="H82" s="32">
        <v>3559.45</v>
      </c>
      <c r="I82" s="32">
        <v>6297.64</v>
      </c>
      <c r="J82" s="32">
        <v>1421.85</v>
      </c>
      <c r="K82" s="32">
        <f>[1]неподконтр!H13/1000</f>
        <v>1614.2620409907115</v>
      </c>
      <c r="L82" s="32">
        <f t="shared" si="38"/>
        <v>1614.2620409907115</v>
      </c>
      <c r="M82" s="32">
        <f t="shared" si="38"/>
        <v>1614.2620409907115</v>
      </c>
      <c r="N82" s="32">
        <f t="shared" si="38"/>
        <v>1614.2620409907115</v>
      </c>
    </row>
    <row r="83" spans="1:251" x14ac:dyDescent="0.25">
      <c r="A83" s="62" t="s">
        <v>149</v>
      </c>
      <c r="B83" s="68" t="s">
        <v>150</v>
      </c>
      <c r="C83" s="59" t="s">
        <v>33</v>
      </c>
      <c r="D83" s="32">
        <v>28.62</v>
      </c>
      <c r="E83" s="32">
        <v>28.57</v>
      </c>
      <c r="F83" s="32">
        <v>23.24</v>
      </c>
      <c r="G83" s="32">
        <v>23.21</v>
      </c>
      <c r="H83" s="32">
        <v>23.076770000000003</v>
      </c>
      <c r="I83" s="32">
        <v>22.55</v>
      </c>
      <c r="J83" s="32">
        <v>22.55</v>
      </c>
      <c r="K83" s="32">
        <f>[1]неподконтр!H14/1000</f>
        <v>29.453536236392566</v>
      </c>
      <c r="L83" s="32">
        <f t="shared" si="38"/>
        <v>29.453536236392566</v>
      </c>
      <c r="M83" s="32">
        <f t="shared" si="38"/>
        <v>29.453536236392566</v>
      </c>
      <c r="N83" s="32">
        <f t="shared" si="38"/>
        <v>29.453536236392566</v>
      </c>
    </row>
    <row r="84" spans="1:251" x14ac:dyDescent="0.25">
      <c r="A84" s="57" t="s">
        <v>151</v>
      </c>
      <c r="B84" s="83" t="s">
        <v>152</v>
      </c>
      <c r="C84" s="59" t="s">
        <v>33</v>
      </c>
      <c r="D84" s="60">
        <f>D24*D85/100</f>
        <v>18412.93648</v>
      </c>
      <c r="E84" s="60">
        <v>18940.3</v>
      </c>
      <c r="F84" s="60">
        <f>ROUND((F24*F85/100),2)</f>
        <v>21044.94</v>
      </c>
      <c r="G84" s="60">
        <f>ROUND((G24*G85/100),2)</f>
        <v>23801.83</v>
      </c>
      <c r="H84" s="60">
        <v>40548.42</v>
      </c>
      <c r="I84" s="60">
        <v>37087.370000000003</v>
      </c>
      <c r="J84" s="60">
        <v>37087.370000000003</v>
      </c>
      <c r="K84" s="60">
        <f>(27093*K14)*(K26+K29+K32)*12*0.304/1000+($I24*K14*1000-(27093*K14)*(K26+K29+K32)*12)*(0.11+0.0145+0.0255+0.004)/1000</f>
        <v>72336.962889507355</v>
      </c>
      <c r="L84" s="60">
        <f>(27093*K14*L14)*(L26+L29+L32)*12*0.304/1000+($I24*K14*L14*1000-(27093*K14*L14)*(L26+L29+L32)*12)*(0.11+0.0145+0.0255+0.004)/1000</f>
        <v>74507.071776192577</v>
      </c>
      <c r="M84" s="60">
        <f>(27093*K14*L14*M14)*(M26+M29+M32)*12*0.304/1000+($I24*K14*L14*M14*1000-(27093*K14*L14*M14)*(M26+M29+M32)*12)*(0.11+0.0145+0.0255+0.004)/1000</f>
        <v>76742.283929478348</v>
      </c>
      <c r="N84" s="60">
        <f>(27093*K14*L14*M14*N14)*(N26+N29+N32)*12*0.304/1000+($I24*K14*L14*M14*N14*1000-(27093*K14*L14*M14*N14)*(N26+N29+N32)*12)*(0.11+0.0145+0.0255+0.004)/1000</f>
        <v>79044.552447362701</v>
      </c>
    </row>
    <row r="85" spans="1:251" x14ac:dyDescent="0.25">
      <c r="A85" s="62" t="s">
        <v>153</v>
      </c>
      <c r="B85" s="68" t="s">
        <v>154</v>
      </c>
      <c r="C85" s="59" t="s">
        <v>16</v>
      </c>
      <c r="D85" s="32">
        <v>30.4</v>
      </c>
      <c r="E85" s="32">
        <v>30.4</v>
      </c>
      <c r="F85" s="32">
        <v>30.4</v>
      </c>
      <c r="G85" s="32">
        <v>30.4</v>
      </c>
      <c r="H85" s="32">
        <v>30.4</v>
      </c>
      <c r="I85" s="32">
        <f>I84/I24*100</f>
        <v>20.376862124569232</v>
      </c>
      <c r="J85" s="32">
        <f>J84/J24*100</f>
        <v>53.350287527950115</v>
      </c>
      <c r="K85" s="32">
        <f>K84/K24*100</f>
        <v>20.678458338696498</v>
      </c>
      <c r="L85" s="32">
        <f t="shared" ref="L85:N85" si="39">L84/L24*100</f>
        <v>20.678458338696501</v>
      </c>
      <c r="M85" s="32">
        <f t="shared" si="39"/>
        <v>20.678458338696498</v>
      </c>
      <c r="N85" s="32">
        <f t="shared" si="39"/>
        <v>20.678458338696498</v>
      </c>
    </row>
    <row r="86" spans="1:251" x14ac:dyDescent="0.25">
      <c r="A86" s="57" t="s">
        <v>155</v>
      </c>
      <c r="B86" s="58" t="s">
        <v>156</v>
      </c>
      <c r="C86" s="59" t="s">
        <v>33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/>
      <c r="J86" s="32"/>
      <c r="K86" s="32"/>
      <c r="L86" s="32"/>
      <c r="M86" s="32"/>
      <c r="N86" s="82"/>
    </row>
    <row r="87" spans="1:251" ht="25.5" outlineLevel="1" x14ac:dyDescent="0.25">
      <c r="A87" s="57" t="s">
        <v>157</v>
      </c>
      <c r="B87" s="58" t="s">
        <v>158</v>
      </c>
      <c r="C87" s="59" t="s">
        <v>33</v>
      </c>
      <c r="D87" s="60">
        <v>0</v>
      </c>
      <c r="E87" s="60">
        <v>0</v>
      </c>
      <c r="F87" s="60">
        <v>0</v>
      </c>
      <c r="G87" s="60">
        <v>0</v>
      </c>
      <c r="H87" s="60">
        <v>0</v>
      </c>
      <c r="I87" s="60"/>
      <c r="J87" s="32"/>
      <c r="K87" s="32"/>
      <c r="L87" s="60"/>
      <c r="M87" s="60"/>
      <c r="N87" s="84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71"/>
      <c r="GG87" s="71"/>
      <c r="GH87" s="71"/>
      <c r="GI87" s="71"/>
      <c r="GJ87" s="71"/>
      <c r="GK87" s="71"/>
      <c r="GL87" s="71"/>
      <c r="GM87" s="71"/>
      <c r="GN87" s="71"/>
      <c r="GO87" s="71"/>
      <c r="GP87" s="71"/>
      <c r="GQ87" s="71"/>
      <c r="GR87" s="71"/>
      <c r="GS87" s="71"/>
      <c r="GT87" s="71"/>
      <c r="GU87" s="71"/>
      <c r="GV87" s="71"/>
      <c r="GW87" s="71"/>
      <c r="GX87" s="71"/>
      <c r="GY87" s="71"/>
      <c r="GZ87" s="71"/>
      <c r="HA87" s="71"/>
      <c r="HB87" s="71"/>
      <c r="HC87" s="71"/>
      <c r="HD87" s="71"/>
      <c r="HE87" s="71"/>
      <c r="HF87" s="71"/>
      <c r="HG87" s="71"/>
      <c r="HH87" s="71"/>
      <c r="HI87" s="71"/>
      <c r="HJ87" s="71"/>
      <c r="HK87" s="71"/>
      <c r="HL87" s="71"/>
      <c r="HM87" s="71"/>
      <c r="HN87" s="71"/>
      <c r="HO87" s="71"/>
      <c r="HP87" s="71"/>
      <c r="HQ87" s="71"/>
      <c r="HR87" s="71"/>
      <c r="HS87" s="71"/>
      <c r="HT87" s="71"/>
      <c r="HU87" s="71"/>
      <c r="HV87" s="71"/>
      <c r="HW87" s="71"/>
      <c r="HX87" s="71"/>
      <c r="HY87" s="71"/>
      <c r="HZ87" s="71"/>
      <c r="IA87" s="71"/>
      <c r="IB87" s="71"/>
      <c r="IC87" s="71"/>
      <c r="ID87" s="71"/>
      <c r="IE87" s="71"/>
      <c r="IF87" s="71"/>
      <c r="IG87" s="71"/>
      <c r="IH87" s="71"/>
      <c r="II87" s="71"/>
      <c r="IJ87" s="71"/>
      <c r="IK87" s="71"/>
      <c r="IL87" s="71"/>
      <c r="IM87" s="71"/>
      <c r="IN87" s="71"/>
      <c r="IO87" s="71"/>
      <c r="IP87" s="71"/>
      <c r="IQ87" s="71"/>
    </row>
    <row r="88" spans="1:251" outlineLevel="1" x14ac:dyDescent="0.25">
      <c r="A88" s="57" t="s">
        <v>159</v>
      </c>
      <c r="B88" s="58" t="s">
        <v>160</v>
      </c>
      <c r="C88" s="59" t="s">
        <v>33</v>
      </c>
      <c r="D88" s="60">
        <f>13336.34</f>
        <v>13336.34</v>
      </c>
      <c r="E88" s="60">
        <f>13973</f>
        <v>13973</v>
      </c>
      <c r="F88" s="60">
        <v>0</v>
      </c>
      <c r="G88" s="60">
        <v>0</v>
      </c>
      <c r="H88" s="77">
        <v>0</v>
      </c>
      <c r="I88" s="77"/>
      <c r="J88" s="32"/>
      <c r="K88" s="32"/>
      <c r="L88" s="60"/>
      <c r="M88" s="60"/>
      <c r="N88" s="84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1"/>
      <c r="GI88" s="71"/>
      <c r="GJ88" s="71"/>
      <c r="GK88" s="71"/>
      <c r="GL88" s="71"/>
      <c r="GM88" s="71"/>
      <c r="GN88" s="71"/>
      <c r="GO88" s="71"/>
      <c r="GP88" s="71"/>
      <c r="GQ88" s="71"/>
      <c r="GR88" s="71"/>
      <c r="GS88" s="71"/>
      <c r="GT88" s="71"/>
      <c r="GU88" s="71"/>
      <c r="GV88" s="71"/>
      <c r="GW88" s="71"/>
      <c r="GX88" s="71"/>
      <c r="GY88" s="71"/>
      <c r="GZ88" s="71"/>
      <c r="HA88" s="71"/>
      <c r="HB88" s="71"/>
      <c r="HC88" s="71"/>
      <c r="HD88" s="71"/>
      <c r="HE88" s="71"/>
      <c r="HF88" s="71"/>
      <c r="HG88" s="71"/>
      <c r="HH88" s="71"/>
      <c r="HI88" s="71"/>
      <c r="HJ88" s="71"/>
      <c r="HK88" s="71"/>
      <c r="HL88" s="71"/>
      <c r="HM88" s="71"/>
      <c r="HN88" s="71"/>
      <c r="HO88" s="71"/>
      <c r="HP88" s="71"/>
      <c r="HQ88" s="71"/>
      <c r="HR88" s="71"/>
      <c r="HS88" s="71"/>
      <c r="HT88" s="71"/>
      <c r="HU88" s="71"/>
      <c r="HV88" s="71"/>
      <c r="HW88" s="71"/>
      <c r="HX88" s="71"/>
      <c r="HY88" s="71"/>
      <c r="HZ88" s="71"/>
      <c r="IA88" s="71"/>
      <c r="IB88" s="71"/>
      <c r="IC88" s="71"/>
      <c r="ID88" s="71"/>
      <c r="IE88" s="71"/>
      <c r="IF88" s="71"/>
      <c r="IG88" s="71"/>
      <c r="IH88" s="71"/>
      <c r="II88" s="71"/>
      <c r="IJ88" s="71"/>
      <c r="IK88" s="71"/>
      <c r="IL88" s="71"/>
      <c r="IM88" s="71"/>
      <c r="IN88" s="71"/>
      <c r="IO88" s="71"/>
      <c r="IP88" s="71"/>
      <c r="IQ88" s="71"/>
    </row>
    <row r="89" spans="1:251" outlineLevel="1" x14ac:dyDescent="0.25">
      <c r="A89" s="57" t="s">
        <v>161</v>
      </c>
      <c r="B89" s="58" t="s">
        <v>162</v>
      </c>
      <c r="C89" s="59" t="s">
        <v>33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/>
      <c r="J89" s="32"/>
      <c r="K89" s="32"/>
      <c r="L89" s="60"/>
      <c r="M89" s="60"/>
      <c r="N89" s="84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  <c r="HE89" s="71"/>
      <c r="HF89" s="71"/>
      <c r="HG89" s="71"/>
      <c r="HH89" s="71"/>
      <c r="HI89" s="71"/>
      <c r="HJ89" s="71"/>
      <c r="HK89" s="71"/>
      <c r="HL89" s="71"/>
      <c r="HM89" s="71"/>
      <c r="HN89" s="71"/>
      <c r="HO89" s="71"/>
      <c r="HP89" s="71"/>
      <c r="HQ89" s="71"/>
      <c r="HR89" s="71"/>
      <c r="HS89" s="71"/>
      <c r="HT89" s="71"/>
      <c r="HU89" s="71"/>
      <c r="HV89" s="71"/>
      <c r="HW89" s="71"/>
      <c r="HX89" s="71"/>
      <c r="HY89" s="71"/>
      <c r="HZ89" s="71"/>
      <c r="IA89" s="71"/>
      <c r="IB89" s="71"/>
      <c r="IC89" s="71"/>
      <c r="ID89" s="71"/>
      <c r="IE89" s="71"/>
      <c r="IF89" s="71"/>
      <c r="IG89" s="71"/>
      <c r="IH89" s="71"/>
      <c r="II89" s="71"/>
      <c r="IJ89" s="71"/>
      <c r="IK89" s="71"/>
      <c r="IL89" s="71"/>
      <c r="IM89" s="71"/>
      <c r="IN89" s="71"/>
      <c r="IO89" s="71"/>
      <c r="IP89" s="71"/>
      <c r="IQ89" s="71"/>
    </row>
    <row r="90" spans="1:251" x14ac:dyDescent="0.25">
      <c r="A90" s="57" t="s">
        <v>163</v>
      </c>
      <c r="B90" s="58" t="s">
        <v>164</v>
      </c>
      <c r="C90" s="59" t="s">
        <v>33</v>
      </c>
      <c r="D90" s="60">
        <v>0</v>
      </c>
      <c r="E90" s="60">
        <v>0</v>
      </c>
      <c r="F90" s="60">
        <v>2469.34</v>
      </c>
      <c r="G90" s="60">
        <f>[2]Резерв!E12</f>
        <v>3548.56</v>
      </c>
      <c r="H90" s="60">
        <v>2021.28</v>
      </c>
      <c r="I90" s="60"/>
      <c r="J90" s="32"/>
      <c r="K90" s="32">
        <f>J90</f>
        <v>0</v>
      </c>
      <c r="L90" s="32">
        <f t="shared" ref="L90:N90" si="40">K90</f>
        <v>0</v>
      </c>
      <c r="M90" s="32">
        <f t="shared" si="40"/>
        <v>0</v>
      </c>
      <c r="N90" s="32">
        <f t="shared" si="40"/>
        <v>0</v>
      </c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  <c r="HG90" s="71"/>
      <c r="HH90" s="71"/>
      <c r="HI90" s="71"/>
      <c r="HJ90" s="71"/>
      <c r="HK90" s="71"/>
      <c r="HL90" s="71"/>
      <c r="HM90" s="71"/>
      <c r="HN90" s="71"/>
      <c r="HO90" s="71"/>
      <c r="HP90" s="71"/>
      <c r="HQ90" s="71"/>
      <c r="HR90" s="71"/>
      <c r="HS90" s="71"/>
      <c r="HT90" s="71"/>
      <c r="HU90" s="71"/>
      <c r="HV90" s="71"/>
      <c r="HW90" s="71"/>
      <c r="HX90" s="71"/>
      <c r="HY90" s="71"/>
      <c r="HZ90" s="71"/>
      <c r="IA90" s="71"/>
      <c r="IB90" s="71"/>
      <c r="IC90" s="71"/>
      <c r="ID90" s="71"/>
      <c r="IE90" s="71"/>
      <c r="IF90" s="71"/>
      <c r="IG90" s="71"/>
      <c r="IH90" s="71"/>
      <c r="II90" s="71"/>
      <c r="IJ90" s="71"/>
      <c r="IK90" s="71"/>
      <c r="IL90" s="71"/>
      <c r="IM90" s="71"/>
      <c r="IN90" s="71"/>
      <c r="IO90" s="71"/>
      <c r="IP90" s="71"/>
      <c r="IQ90" s="71"/>
    </row>
    <row r="91" spans="1:251" outlineLevel="1" x14ac:dyDescent="0.25">
      <c r="A91" s="57" t="s">
        <v>165</v>
      </c>
      <c r="B91" s="58" t="s">
        <v>166</v>
      </c>
      <c r="C91" s="59" t="s">
        <v>33</v>
      </c>
      <c r="D91" s="60"/>
      <c r="E91" s="60"/>
      <c r="F91" s="60"/>
      <c r="G91" s="60"/>
      <c r="H91" s="60"/>
      <c r="I91" s="60"/>
      <c r="J91" s="32"/>
      <c r="K91" s="32">
        <v>7665</v>
      </c>
      <c r="L91" s="32"/>
      <c r="M91" s="32"/>
      <c r="N91" s="32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  <c r="HE91" s="71"/>
      <c r="HF91" s="71"/>
      <c r="HG91" s="71"/>
      <c r="HH91" s="71"/>
      <c r="HI91" s="71"/>
      <c r="HJ91" s="71"/>
      <c r="HK91" s="71"/>
      <c r="HL91" s="71"/>
      <c r="HM91" s="71"/>
      <c r="HN91" s="71"/>
      <c r="HO91" s="71"/>
      <c r="HP91" s="71"/>
      <c r="HQ91" s="71"/>
      <c r="HR91" s="71"/>
      <c r="HS91" s="71"/>
      <c r="HT91" s="71"/>
      <c r="HU91" s="71"/>
      <c r="HV91" s="71"/>
      <c r="HW91" s="71"/>
      <c r="HX91" s="71"/>
      <c r="HY91" s="71"/>
      <c r="HZ91" s="71"/>
      <c r="IA91" s="71"/>
      <c r="IB91" s="71"/>
      <c r="IC91" s="71"/>
      <c r="ID91" s="71"/>
      <c r="IE91" s="71"/>
      <c r="IF91" s="71"/>
      <c r="IG91" s="71"/>
      <c r="IH91" s="71"/>
      <c r="II91" s="71"/>
      <c r="IJ91" s="71"/>
      <c r="IK91" s="71"/>
      <c r="IL91" s="71"/>
      <c r="IM91" s="71"/>
      <c r="IN91" s="71"/>
      <c r="IO91" s="71"/>
      <c r="IP91" s="71"/>
      <c r="IQ91" s="71"/>
    </row>
    <row r="92" spans="1:251" x14ac:dyDescent="0.25">
      <c r="A92" s="57"/>
      <c r="B92" s="58" t="s">
        <v>167</v>
      </c>
      <c r="C92" s="59" t="s">
        <v>33</v>
      </c>
      <c r="D92" s="60">
        <f>D73+D76+D79+D84+D86+D87+D88+D89+D90</f>
        <v>51878.846480000007</v>
      </c>
      <c r="E92" s="60">
        <f>E73+E76+E79+E84+E86+E87+E88+E89+E90</f>
        <v>51664.380000000005</v>
      </c>
      <c r="F92" s="60">
        <f>F73+F76+F79+F84+F86+F87+F88+F89+F90</f>
        <v>47924.22</v>
      </c>
      <c r="G92" s="60">
        <f>G73+G76+G79+G84+G86+G87+G88+G89+G90</f>
        <v>56371.75</v>
      </c>
      <c r="H92" s="60">
        <f>H73+H76+H79+H84+H86+H87+H88+H89+H90+H91</f>
        <v>84882.376770000003</v>
      </c>
      <c r="I92" s="60">
        <f>I73+I76+I79+I84+I86+I87+I88+I89+I90+I91</f>
        <v>96241.99</v>
      </c>
      <c r="J92" s="60">
        <f>J73+J76+J79+J84+J86+J87+J88+J89+J90+J91</f>
        <v>87018.263862644177</v>
      </c>
      <c r="K92" s="60">
        <f>K73+K76+K79+K84+K86+K87+K88+K89+K90+K91</f>
        <v>205036.66771925788</v>
      </c>
      <c r="L92" s="60">
        <f t="shared" ref="L92:N92" si="41">L73+L76+L79+L84+L86+L87+L88+L89+L90+L91</f>
        <v>199541.7766059431</v>
      </c>
      <c r="M92" s="60">
        <f t="shared" si="41"/>
        <v>201776.98875922884</v>
      </c>
      <c r="N92" s="60">
        <f t="shared" si="41"/>
        <v>204079.25727711321</v>
      </c>
    </row>
    <row r="93" spans="1:251" x14ac:dyDescent="0.25">
      <c r="A93" s="57"/>
      <c r="B93" s="58" t="s">
        <v>168</v>
      </c>
      <c r="C93" s="59" t="s">
        <v>33</v>
      </c>
      <c r="D93" s="60">
        <f t="shared" ref="D93:N93" si="42">D71+D92</f>
        <v>135388.87648000001</v>
      </c>
      <c r="E93" s="60">
        <f t="shared" si="42"/>
        <v>137566.16999999998</v>
      </c>
      <c r="F93" s="60">
        <f t="shared" si="42"/>
        <v>143371.43</v>
      </c>
      <c r="G93" s="60">
        <f t="shared" si="42"/>
        <v>164322.53</v>
      </c>
      <c r="H93" s="60">
        <f t="shared" si="42"/>
        <v>261562.77677000003</v>
      </c>
      <c r="I93" s="60">
        <f t="shared" si="42"/>
        <v>389482.40772000002</v>
      </c>
      <c r="J93" s="60">
        <f t="shared" si="42"/>
        <v>218445.72386264417</v>
      </c>
      <c r="K93" s="60">
        <f t="shared" si="42"/>
        <v>768644.75057709788</v>
      </c>
      <c r="L93" s="60">
        <f t="shared" si="42"/>
        <v>780058.1019495182</v>
      </c>
      <c r="M93" s="60">
        <f t="shared" si="42"/>
        <v>799708.8038631113</v>
      </c>
      <c r="N93" s="60">
        <f t="shared" si="42"/>
        <v>819949.02683411213</v>
      </c>
      <c r="Q93" s="4"/>
    </row>
    <row r="94" spans="1:251" x14ac:dyDescent="0.25">
      <c r="A94" s="85">
        <v>3</v>
      </c>
      <c r="B94" s="69" t="s">
        <v>169</v>
      </c>
      <c r="C94" s="69"/>
      <c r="D94" s="86"/>
      <c r="E94" s="86"/>
      <c r="F94" s="86"/>
      <c r="G94" s="86"/>
      <c r="H94" s="86"/>
      <c r="I94" s="86"/>
      <c r="J94" s="32">
        <f>SUM(J95:J97)</f>
        <v>-5078.9400000000005</v>
      </c>
      <c r="K94" s="32">
        <f>SUM(K95:K97)</f>
        <v>126970.40830726012</v>
      </c>
      <c r="L94" s="32">
        <f t="shared" ref="L94:N94" si="43">SUM(L95:L97)</f>
        <v>0</v>
      </c>
      <c r="M94" s="32">
        <f t="shared" si="43"/>
        <v>0</v>
      </c>
      <c r="N94" s="32">
        <f t="shared" si="43"/>
        <v>0</v>
      </c>
    </row>
    <row r="95" spans="1:251" ht="25.5" x14ac:dyDescent="0.25">
      <c r="A95" s="85"/>
      <c r="B95" s="63" t="s">
        <v>170</v>
      </c>
      <c r="C95" s="59" t="s">
        <v>33</v>
      </c>
      <c r="D95" s="87">
        <v>0</v>
      </c>
      <c r="E95" s="87">
        <v>5109.2299999999996</v>
      </c>
      <c r="F95" s="87">
        <v>0</v>
      </c>
      <c r="G95" s="87">
        <v>0</v>
      </c>
      <c r="H95" s="87">
        <v>26150.25</v>
      </c>
      <c r="I95" s="87"/>
      <c r="J95" s="32"/>
      <c r="K95" s="32">
        <v>3496.67</v>
      </c>
      <c r="L95" s="32"/>
      <c r="M95" s="32"/>
      <c r="N95" s="82"/>
    </row>
    <row r="96" spans="1:251" ht="63.75" x14ac:dyDescent="0.25">
      <c r="A96" s="85"/>
      <c r="B96" s="63" t="s">
        <v>171</v>
      </c>
      <c r="C96" s="59" t="s">
        <v>33</v>
      </c>
      <c r="D96" s="87">
        <v>13187.96</v>
      </c>
      <c r="E96" s="87">
        <v>-12879.81</v>
      </c>
      <c r="F96" s="87">
        <v>17810.009999999998</v>
      </c>
      <c r="G96" s="87">
        <f>[2]Корр!F43</f>
        <v>-12627.27</v>
      </c>
      <c r="H96" s="87">
        <v>66649.100000000006</v>
      </c>
      <c r="I96" s="32">
        <v>-7096.92</v>
      </c>
      <c r="J96" s="32">
        <v>-7096.92</v>
      </c>
      <c r="K96" s="32">
        <f>'[1]Корр-ка 2024'!F57</f>
        <v>119193.01119050012</v>
      </c>
      <c r="L96" s="32"/>
      <c r="M96" s="32"/>
      <c r="N96" s="82"/>
    </row>
    <row r="97" spans="1:251" x14ac:dyDescent="0.25">
      <c r="A97" s="85"/>
      <c r="B97" s="63" t="s">
        <v>172</v>
      </c>
      <c r="C97" s="59" t="s">
        <v>33</v>
      </c>
      <c r="D97" s="87">
        <v>1508.41</v>
      </c>
      <c r="E97" s="87">
        <v>1610.92</v>
      </c>
      <c r="F97" s="87">
        <v>2013.59</v>
      </c>
      <c r="G97" s="87">
        <f>[2]Корр!F12</f>
        <v>1839.69</v>
      </c>
      <c r="H97" s="87">
        <v>2365.13</v>
      </c>
      <c r="I97" s="32">
        <v>2017.98</v>
      </c>
      <c r="J97" s="32">
        <v>2017.98</v>
      </c>
      <c r="K97" s="32">
        <f>'[1]Корр-ка 2024'!F10</f>
        <v>4280.7271167600011</v>
      </c>
      <c r="L97" s="32"/>
      <c r="M97" s="32"/>
      <c r="N97" s="82"/>
    </row>
    <row r="98" spans="1:251" x14ac:dyDescent="0.25">
      <c r="A98" s="76"/>
      <c r="B98" s="58" t="s">
        <v>173</v>
      </c>
      <c r="C98" s="70" t="s">
        <v>33</v>
      </c>
      <c r="D98" s="77">
        <f t="shared" ref="D98:J98" si="44">D93+D95+D96+D97</f>
        <v>150085.24648</v>
      </c>
      <c r="E98" s="77">
        <f t="shared" si="44"/>
        <v>131406.51</v>
      </c>
      <c r="F98" s="77">
        <f t="shared" si="44"/>
        <v>163195.03</v>
      </c>
      <c r="G98" s="77">
        <f t="shared" si="44"/>
        <v>153534.95000000001</v>
      </c>
      <c r="H98" s="77">
        <f t="shared" si="44"/>
        <v>356727.25676999998</v>
      </c>
      <c r="I98" s="77">
        <f t="shared" si="44"/>
        <v>384403.46772000002</v>
      </c>
      <c r="J98" s="77">
        <f t="shared" si="44"/>
        <v>213366.78386264417</v>
      </c>
      <c r="K98" s="77">
        <f>K93+K94</f>
        <v>895615.15888435801</v>
      </c>
      <c r="L98" s="77">
        <f t="shared" ref="L98:N98" si="45">L93+L95+L96+L97</f>
        <v>780058.1019495182</v>
      </c>
      <c r="M98" s="77">
        <f t="shared" si="45"/>
        <v>799708.8038631113</v>
      </c>
      <c r="N98" s="77">
        <f t="shared" si="45"/>
        <v>819949.02683411213</v>
      </c>
    </row>
    <row r="99" spans="1:251" x14ac:dyDescent="0.25">
      <c r="A99" s="85">
        <v>4</v>
      </c>
      <c r="B99" s="63" t="s">
        <v>174</v>
      </c>
      <c r="C99" s="59" t="s">
        <v>175</v>
      </c>
      <c r="D99" s="88">
        <v>387.26400000000001</v>
      </c>
      <c r="E99" s="88">
        <v>358.11599999999999</v>
      </c>
      <c r="F99" s="88">
        <v>394.37900000000002</v>
      </c>
      <c r="G99" s="88">
        <v>399.09300000000002</v>
      </c>
      <c r="H99" s="88">
        <v>472.78399999999999</v>
      </c>
      <c r="I99" s="88"/>
      <c r="J99" s="32">
        <v>396.62</v>
      </c>
      <c r="K99" s="32">
        <f>'[1]1.4'!J21</f>
        <v>1094.1443119999999</v>
      </c>
      <c r="L99" s="32">
        <f t="shared" ref="L99:N101" si="46">K99</f>
        <v>1094.1443119999999</v>
      </c>
      <c r="M99" s="32">
        <f t="shared" si="46"/>
        <v>1094.1443119999999</v>
      </c>
      <c r="N99" s="32">
        <f t="shared" si="46"/>
        <v>1094.1443119999999</v>
      </c>
    </row>
    <row r="100" spans="1:251" x14ac:dyDescent="0.25">
      <c r="A100" s="85"/>
      <c r="B100" s="63" t="s">
        <v>176</v>
      </c>
      <c r="C100" s="89" t="s">
        <v>177</v>
      </c>
      <c r="D100" s="88">
        <v>55.106000000000002</v>
      </c>
      <c r="E100" s="88">
        <v>51.779000000000003</v>
      </c>
      <c r="F100" s="88">
        <v>57.939</v>
      </c>
      <c r="G100" s="88">
        <v>55.792000000000002</v>
      </c>
      <c r="H100" s="88">
        <v>68.643000000000001</v>
      </c>
      <c r="I100" s="88"/>
      <c r="J100" s="32">
        <v>61.34</v>
      </c>
      <c r="K100" s="32">
        <f>'[1]1.5'!J20</f>
        <v>167.64599999999999</v>
      </c>
      <c r="L100" s="32">
        <f t="shared" si="46"/>
        <v>167.64599999999999</v>
      </c>
      <c r="M100" s="32">
        <f t="shared" si="46"/>
        <v>167.64599999999999</v>
      </c>
      <c r="N100" s="32">
        <f t="shared" si="46"/>
        <v>167.64599999999999</v>
      </c>
    </row>
    <row r="101" spans="1:251" x14ac:dyDescent="0.25">
      <c r="A101" s="85">
        <v>5</v>
      </c>
      <c r="B101" s="90" t="s">
        <v>178</v>
      </c>
      <c r="C101" s="59" t="s">
        <v>175</v>
      </c>
      <c r="D101" s="88">
        <v>5.8979999999999997</v>
      </c>
      <c r="E101" s="88">
        <v>5.4539999999999997</v>
      </c>
      <c r="F101" s="88">
        <v>6.0060000000000002</v>
      </c>
      <c r="G101" s="88">
        <v>6.0780000000000003</v>
      </c>
      <c r="H101" s="88">
        <v>7.1989999999999998</v>
      </c>
      <c r="I101" s="88"/>
      <c r="J101" s="32">
        <v>28.846</v>
      </c>
      <c r="K101" s="32">
        <f>'[1]1.4'!J18</f>
        <v>52.293278000000001</v>
      </c>
      <c r="L101" s="32">
        <f t="shared" si="46"/>
        <v>52.293278000000001</v>
      </c>
      <c r="M101" s="32">
        <f t="shared" si="46"/>
        <v>52.293278000000001</v>
      </c>
      <c r="N101" s="32">
        <f t="shared" si="46"/>
        <v>52.293278000000001</v>
      </c>
    </row>
    <row r="102" spans="1:251" x14ac:dyDescent="0.25">
      <c r="A102" s="85"/>
      <c r="B102" s="58" t="s">
        <v>179</v>
      </c>
      <c r="C102" s="59" t="s">
        <v>180</v>
      </c>
      <c r="D102" s="77">
        <v>2426.98207</v>
      </c>
      <c r="E102" s="77">
        <v>2543.13</v>
      </c>
      <c r="F102" s="77">
        <v>2688.939393939394</v>
      </c>
      <c r="G102" s="60">
        <v>3040.41</v>
      </c>
      <c r="H102" s="77">
        <v>3086.8</v>
      </c>
      <c r="I102" s="77"/>
      <c r="J102" s="32">
        <f>J103/J101</f>
        <v>3565.2059210982457</v>
      </c>
      <c r="K102" s="32">
        <f>3614.19*1.085</f>
        <v>3921.39615</v>
      </c>
      <c r="L102" s="32">
        <f t="shared" ref="L102:N102" si="47">K102*1.042</f>
        <v>4086.0947883000003</v>
      </c>
      <c r="M102" s="32">
        <f t="shared" si="47"/>
        <v>4257.7107694086008</v>
      </c>
      <c r="N102" s="32">
        <f t="shared" si="47"/>
        <v>4436.534621723762</v>
      </c>
    </row>
    <row r="103" spans="1:251" x14ac:dyDescent="0.25">
      <c r="A103" s="85"/>
      <c r="B103" s="58" t="s">
        <v>181</v>
      </c>
      <c r="C103" s="59" t="s">
        <v>33</v>
      </c>
      <c r="D103" s="77">
        <f>D101*D102</f>
        <v>14314.340248859999</v>
      </c>
      <c r="E103" s="77">
        <v>13870.21</v>
      </c>
      <c r="F103" s="77">
        <v>16149.77</v>
      </c>
      <c r="G103" s="77">
        <f>ROUND(G101*G102,2)</f>
        <v>18479.61</v>
      </c>
      <c r="H103" s="77">
        <f>H101*H102</f>
        <v>22221.873200000002</v>
      </c>
      <c r="I103" s="77">
        <v>102841.93</v>
      </c>
      <c r="J103" s="77">
        <v>102841.93</v>
      </c>
      <c r="K103" s="77">
        <f t="shared" ref="K103:N103" si="48">K101*K102</f>
        <v>205062.65902007971</v>
      </c>
      <c r="L103" s="77">
        <f t="shared" si="48"/>
        <v>213675.29069892308</v>
      </c>
      <c r="M103" s="77">
        <f t="shared" si="48"/>
        <v>222649.65290827787</v>
      </c>
      <c r="N103" s="77">
        <f t="shared" si="48"/>
        <v>232000.93833042553</v>
      </c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  <c r="HI103" s="71"/>
      <c r="HJ103" s="71"/>
      <c r="HK103" s="71"/>
      <c r="HL103" s="71"/>
      <c r="HM103" s="71"/>
      <c r="HN103" s="71"/>
      <c r="HO103" s="71"/>
      <c r="HP103" s="71"/>
      <c r="HQ103" s="71"/>
      <c r="HR103" s="71"/>
      <c r="HS103" s="71"/>
      <c r="HT103" s="71"/>
      <c r="HU103" s="71"/>
      <c r="HV103" s="71"/>
      <c r="HW103" s="71"/>
      <c r="HX103" s="71"/>
      <c r="HY103" s="71"/>
      <c r="HZ103" s="71"/>
      <c r="IA103" s="71"/>
      <c r="IB103" s="71"/>
      <c r="IC103" s="71"/>
      <c r="ID103" s="71"/>
      <c r="IE103" s="71"/>
      <c r="IF103" s="71"/>
      <c r="IG103" s="71"/>
      <c r="IH103" s="71"/>
      <c r="II103" s="71"/>
      <c r="IJ103" s="71"/>
      <c r="IK103" s="71"/>
      <c r="IL103" s="71"/>
      <c r="IM103" s="71"/>
      <c r="IN103" s="71"/>
      <c r="IO103" s="71"/>
      <c r="IP103" s="71"/>
      <c r="IQ103" s="71"/>
    </row>
    <row r="104" spans="1:251" x14ac:dyDescent="0.25">
      <c r="A104" s="89"/>
      <c r="B104" s="91" t="s">
        <v>182</v>
      </c>
      <c r="C104" s="59" t="s">
        <v>33</v>
      </c>
      <c r="D104" s="77">
        <f>D98+D103</f>
        <v>164399.58672886001</v>
      </c>
      <c r="E104" s="77">
        <f>E98+E103</f>
        <v>145276.72</v>
      </c>
      <c r="F104" s="77">
        <f>F98+F103</f>
        <v>179344.8</v>
      </c>
      <c r="G104" s="77">
        <f>G98+G103</f>
        <v>172014.56</v>
      </c>
      <c r="H104" s="77">
        <f>H98+H103</f>
        <v>378949.12997000001</v>
      </c>
      <c r="I104" s="77">
        <f t="shared" ref="I104:N104" si="49">I98+I103</f>
        <v>487245.39772000001</v>
      </c>
      <c r="J104" s="77">
        <f t="shared" si="49"/>
        <v>316208.71386264416</v>
      </c>
      <c r="K104" s="77">
        <f t="shared" si="49"/>
        <v>1100677.8179044377</v>
      </c>
      <c r="L104" s="77">
        <f t="shared" si="49"/>
        <v>993733.39264844125</v>
      </c>
      <c r="M104" s="77">
        <f t="shared" si="49"/>
        <v>1022358.4567713891</v>
      </c>
      <c r="N104" s="77">
        <f t="shared" si="49"/>
        <v>1051949.9651645375</v>
      </c>
    </row>
    <row r="106" spans="1:251" x14ac:dyDescent="0.25">
      <c r="J106" s="3">
        <f>J98-J82-J66</f>
        <v>211704.11386264415</v>
      </c>
      <c r="O106" s="4"/>
    </row>
    <row r="107" spans="1:251" ht="15.75" x14ac:dyDescent="0.25">
      <c r="G107" s="92"/>
    </row>
  </sheetData>
  <mergeCells count="12">
    <mergeCell ref="A25:A27"/>
    <mergeCell ref="A28:A30"/>
    <mergeCell ref="A31:A33"/>
    <mergeCell ref="A94:A97"/>
    <mergeCell ref="A99:A100"/>
    <mergeCell ref="A101:A103"/>
    <mergeCell ref="A1:N1"/>
    <mergeCell ref="A3:C3"/>
    <mergeCell ref="A5:N5"/>
    <mergeCell ref="A10:N10"/>
    <mergeCell ref="A16:N16"/>
    <mergeCell ref="A17:C17"/>
  </mergeCells>
  <pageMargins left="0.39370078740157483" right="0.39370078740157483" top="0.39370078740157483" bottom="0.39370078740157483" header="0.31496062992125984" footer="0.31496062992125984"/>
  <pageSetup paperSize="9" scale="94" fitToHeight="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Колышницына Наталья Владимировна</dc:creator>
  <cp:lastModifiedBy>Колышницына Наталья Владимировна</cp:lastModifiedBy>
  <cp:lastPrinted>2025-11-14T08:52:24Z</cp:lastPrinted>
  <dcterms:created xsi:type="dcterms:W3CDTF">2025-11-14T08:47:38Z</dcterms:created>
  <dcterms:modified xsi:type="dcterms:W3CDTF">2025-11-14T08:53:01Z</dcterms:modified>
</cp:coreProperties>
</file>